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333corporate.sharepoint.com/sites/333Corporate/Documents compartits/333 Web/Continguts/Continguts_333/nutricion/fichas-materias-primas-aditivos/2025/202504Sola-Fitases/"/>
    </mc:Choice>
  </mc:AlternateContent>
  <bookViews>
    <workbookView xWindow="28680" yWindow="-120" windowWidth="29040" windowHeight="15720"/>
  </bookViews>
  <sheets>
    <sheet name="Instructions" sheetId="16" r:id="rId1"/>
    <sheet name="Inclusion Table" sheetId="11" r:id="rId2"/>
    <sheet name="Release Table" sheetId="8" r:id="rId3"/>
    <sheet name="Inclusion Calculator" sheetId="10" r:id="rId4"/>
    <sheet name="Release Calculator" sheetId="17" r:id="rId5"/>
    <sheet name="Premix Calculator" sheetId="14" r:id="rId6"/>
    <sheet name="Ingredient Phytate P" sheetId="12" r:id="rId7"/>
    <sheet name="2022 Regression Curves" sheetId="7" state="hidden" r:id="rId8"/>
  </sheets>
  <definedNames>
    <definedName name="_xlnm.Print_Area" localSheetId="3">'Inclusion Calculator'!$B$2:$J$28</definedName>
    <definedName name="_xlnm.Print_Area" localSheetId="1">'Inclusion Table'!$B$2:$K$24</definedName>
    <definedName name="_xlnm.Print_Area" localSheetId="5">'Premix Calculator'!$C$2:$N$32</definedName>
    <definedName name="_xlnm.Print_Area" localSheetId="4">'Release Calculator'!$B$2:$J$25</definedName>
    <definedName name="_xlnm.Print_Area" localSheetId="2">'Release Table'!$B$2:$K$47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0" l="1"/>
  <c r="K40" i="8" l="1"/>
  <c r="H12" i="14" l="1"/>
  <c r="G22" i="17"/>
  <c r="G23" i="17" s="1"/>
  <c r="G21" i="17" s="1"/>
  <c r="G15" i="17"/>
  <c r="I28" i="10"/>
  <c r="I27" i="10"/>
  <c r="O12" i="7"/>
  <c r="K30" i="8"/>
  <c r="K31" i="8"/>
  <c r="K32" i="8"/>
  <c r="K33" i="8"/>
  <c r="K34" i="8"/>
  <c r="K35" i="8"/>
  <c r="K36" i="8"/>
  <c r="K37" i="8"/>
  <c r="K38" i="8"/>
  <c r="K39" i="8"/>
  <c r="K29" i="8"/>
  <c r="J29" i="8"/>
  <c r="K14" i="8"/>
  <c r="K15" i="8"/>
  <c r="K16" i="8"/>
  <c r="K17" i="8"/>
  <c r="K18" i="8"/>
  <c r="K19" i="8"/>
  <c r="K20" i="8"/>
  <c r="K21" i="8"/>
  <c r="K22" i="8"/>
  <c r="K23" i="8"/>
  <c r="K24" i="8"/>
  <c r="K13" i="8"/>
  <c r="J13" i="8"/>
  <c r="G12" i="7" l="1"/>
  <c r="H12" i="7"/>
  <c r="J40" i="8"/>
  <c r="J41" i="8"/>
  <c r="J24" i="8"/>
  <c r="J25" i="8"/>
  <c r="O11" i="7" l="1"/>
  <c r="O10" i="7"/>
  <c r="O9" i="7"/>
  <c r="O8" i="7"/>
  <c r="O7" i="7"/>
  <c r="O6" i="7"/>
  <c r="H5" i="7"/>
  <c r="O5" i="7"/>
  <c r="P4" i="7"/>
  <c r="P12" i="7" s="1"/>
  <c r="P10" i="7" l="1"/>
  <c r="Q4" i="7"/>
  <c r="P5" i="7"/>
  <c r="P7" i="7"/>
  <c r="P11" i="7"/>
  <c r="P6" i="7"/>
  <c r="P9" i="7"/>
  <c r="Q8" i="7"/>
  <c r="P8" i="7"/>
  <c r="Q10" i="7" l="1"/>
  <c r="Q7" i="7"/>
  <c r="Q11" i="7"/>
  <c r="Q5" i="7"/>
  <c r="Q12" i="7"/>
  <c r="Q6" i="7"/>
  <c r="Q9" i="7"/>
  <c r="R4" i="7"/>
  <c r="R12" i="7" s="1"/>
  <c r="R10" i="7"/>
  <c r="R5" i="7"/>
  <c r="H24" i="8"/>
  <c r="R8" i="7" l="1"/>
  <c r="R9" i="7"/>
  <c r="R7" i="7"/>
  <c r="S4" i="7"/>
  <c r="S12" i="7" s="1"/>
  <c r="R6" i="7"/>
  <c r="R11" i="7"/>
  <c r="T4" i="7"/>
  <c r="T12" i="7" s="1"/>
  <c r="S7" i="7"/>
  <c r="S11" i="7"/>
  <c r="S9" i="7"/>
  <c r="S6" i="7"/>
  <c r="H38" i="8"/>
  <c r="H39" i="8"/>
  <c r="H40" i="8"/>
  <c r="H22" i="8"/>
  <c r="H23" i="8"/>
  <c r="S10" i="7" l="1"/>
  <c r="S5" i="7"/>
  <c r="S8" i="7"/>
  <c r="U4" i="7"/>
  <c r="U12" i="7" s="1"/>
  <c r="T10" i="7"/>
  <c r="T7" i="7"/>
  <c r="T8" i="7"/>
  <c r="T5" i="7"/>
  <c r="T11" i="7"/>
  <c r="T9" i="7"/>
  <c r="T6" i="7"/>
  <c r="V4" i="7" l="1"/>
  <c r="V12" i="7" s="1"/>
  <c r="U10" i="7"/>
  <c r="U7" i="7"/>
  <c r="U8" i="7"/>
  <c r="U5" i="7"/>
  <c r="U9" i="7"/>
  <c r="U11" i="7"/>
  <c r="U6" i="7"/>
  <c r="G19" i="17"/>
  <c r="M22" i="14"/>
  <c r="M21" i="14" s="1"/>
  <c r="M14" i="14"/>
  <c r="M15" i="14" s="1"/>
  <c r="H22" i="14"/>
  <c r="H21" i="14" s="1"/>
  <c r="G23" i="10"/>
  <c r="G27" i="10" s="1"/>
  <c r="H27" i="14" l="1"/>
  <c r="M27" i="14"/>
  <c r="M25" i="14"/>
  <c r="M24" i="14"/>
  <c r="G25" i="17"/>
  <c r="W4" i="7"/>
  <c r="W12" i="7" s="1"/>
  <c r="V9" i="7"/>
  <c r="V10" i="7"/>
  <c r="V11" i="7"/>
  <c r="V7" i="7"/>
  <c r="V8" i="7"/>
  <c r="V5" i="7"/>
  <c r="V6" i="7"/>
  <c r="G24" i="10"/>
  <c r="G28" i="10" s="1"/>
  <c r="K22" i="14"/>
  <c r="K21" i="14" s="1"/>
  <c r="L22" i="14"/>
  <c r="L21" i="14" s="1"/>
  <c r="N22" i="14"/>
  <c r="N21" i="14" s="1"/>
  <c r="K14" i="14"/>
  <c r="K15" i="14" s="1"/>
  <c r="L14" i="14"/>
  <c r="L15" i="14" s="1"/>
  <c r="N14" i="14"/>
  <c r="N15" i="14" s="1"/>
  <c r="I14" i="14"/>
  <c r="I15" i="14" s="1"/>
  <c r="J14" i="14"/>
  <c r="J15" i="14" s="1"/>
  <c r="H14" i="14"/>
  <c r="H24" i="14" s="1"/>
  <c r="I22" i="14"/>
  <c r="J22" i="14"/>
  <c r="J21" i="14" s="1"/>
  <c r="J27" i="14" l="1"/>
  <c r="J25" i="14"/>
  <c r="J26" i="14" s="1"/>
  <c r="J24" i="14"/>
  <c r="L25" i="14"/>
  <c r="L26" i="14" s="1"/>
  <c r="L24" i="14"/>
  <c r="L27" i="14"/>
  <c r="K25" i="14"/>
  <c r="K26" i="14" s="1"/>
  <c r="K24" i="14"/>
  <c r="K27" i="14"/>
  <c r="N27" i="14"/>
  <c r="N24" i="14"/>
  <c r="N25" i="14"/>
  <c r="N26" i="14" s="1"/>
  <c r="H25" i="17"/>
  <c r="G27" i="17"/>
  <c r="G28" i="17" s="1"/>
  <c r="X4" i="7"/>
  <c r="X12" i="7" s="1"/>
  <c r="W7" i="7"/>
  <c r="M7" i="7" s="1"/>
  <c r="W11" i="7"/>
  <c r="W9" i="7"/>
  <c r="W8" i="7"/>
  <c r="W5" i="7"/>
  <c r="W10" i="7"/>
  <c r="W6" i="7"/>
  <c r="I21" i="14"/>
  <c r="H15" i="14"/>
  <c r="H25" i="14" l="1"/>
  <c r="H26" i="14" s="1"/>
  <c r="I27" i="14"/>
  <c r="I25" i="14"/>
  <c r="I26" i="14" s="1"/>
  <c r="I24" i="14"/>
  <c r="Y4" i="7"/>
  <c r="Y12" i="7" s="1"/>
  <c r="X10" i="7"/>
  <c r="X5" i="7"/>
  <c r="X9" i="7"/>
  <c r="X8" i="7"/>
  <c r="X6" i="7"/>
  <c r="X11" i="7"/>
  <c r="J30" i="8"/>
  <c r="J31" i="8"/>
  <c r="J32" i="8"/>
  <c r="J33" i="8"/>
  <c r="J34" i="8"/>
  <c r="J35" i="8"/>
  <c r="J36" i="8"/>
  <c r="J37" i="8"/>
  <c r="J38" i="8"/>
  <c r="J39" i="8"/>
  <c r="I30" i="8"/>
  <c r="I31" i="8"/>
  <c r="I32" i="8"/>
  <c r="I33" i="8"/>
  <c r="I34" i="8"/>
  <c r="I35" i="8"/>
  <c r="I36" i="8"/>
  <c r="I37" i="8"/>
  <c r="I38" i="8"/>
  <c r="I39" i="8"/>
  <c r="I40" i="8"/>
  <c r="I29" i="8"/>
  <c r="H30" i="8"/>
  <c r="H31" i="8"/>
  <c r="H32" i="8"/>
  <c r="H33" i="8"/>
  <c r="H34" i="8"/>
  <c r="H35" i="8"/>
  <c r="H36" i="8"/>
  <c r="H37" i="8"/>
  <c r="H29" i="8"/>
  <c r="G30" i="8"/>
  <c r="G31" i="8"/>
  <c r="G32" i="8"/>
  <c r="G33" i="8"/>
  <c r="G34" i="8"/>
  <c r="G35" i="8"/>
  <c r="G36" i="8"/>
  <c r="G37" i="8"/>
  <c r="G38" i="8"/>
  <c r="G39" i="8"/>
  <c r="G29" i="8"/>
  <c r="F30" i="8"/>
  <c r="F31" i="8"/>
  <c r="F32" i="8"/>
  <c r="F33" i="8"/>
  <c r="F34" i="8"/>
  <c r="F35" i="8"/>
  <c r="F36" i="8"/>
  <c r="F37" i="8"/>
  <c r="F29" i="8"/>
  <c r="E30" i="8"/>
  <c r="E31" i="8"/>
  <c r="E32" i="8"/>
  <c r="E33" i="8"/>
  <c r="E34" i="8"/>
  <c r="E35" i="8"/>
  <c r="E36" i="8"/>
  <c r="E37" i="8"/>
  <c r="E38" i="8"/>
  <c r="E39" i="8"/>
  <c r="E40" i="8"/>
  <c r="E41" i="8"/>
  <c r="E42" i="8"/>
  <c r="E43" i="8"/>
  <c r="E44" i="8"/>
  <c r="E29" i="8"/>
  <c r="D30" i="8"/>
  <c r="D31" i="8"/>
  <c r="D32" i="8"/>
  <c r="D33" i="8"/>
  <c r="D34" i="8"/>
  <c r="D35" i="8"/>
  <c r="D36" i="8"/>
  <c r="D37" i="8"/>
  <c r="D38" i="8"/>
  <c r="D39" i="8"/>
  <c r="D40" i="8"/>
  <c r="D29" i="8"/>
  <c r="Z4" i="7" l="1"/>
  <c r="Z12" i="7" s="1"/>
  <c r="Y6" i="7"/>
  <c r="Y10" i="7"/>
  <c r="Y8" i="7"/>
  <c r="Y9" i="7"/>
  <c r="Y5" i="7"/>
  <c r="Y11" i="7"/>
  <c r="D14" i="8"/>
  <c r="AA4" i="7" l="1"/>
  <c r="AA12" i="7" s="1"/>
  <c r="Z11" i="7"/>
  <c r="Z9" i="7"/>
  <c r="Z8" i="7"/>
  <c r="Z6" i="7"/>
  <c r="Z10" i="7"/>
  <c r="Z5" i="7"/>
  <c r="J14" i="8"/>
  <c r="J15" i="8"/>
  <c r="J16" i="8"/>
  <c r="J17" i="8"/>
  <c r="J18" i="8"/>
  <c r="J19" i="8"/>
  <c r="J20" i="8"/>
  <c r="J21" i="8"/>
  <c r="J22" i="8"/>
  <c r="J23" i="8"/>
  <c r="I13" i="8"/>
  <c r="I14" i="8"/>
  <c r="I15" i="8"/>
  <c r="I16" i="8"/>
  <c r="I17" i="8"/>
  <c r="I18" i="8"/>
  <c r="I19" i="8"/>
  <c r="I20" i="8"/>
  <c r="I21" i="8"/>
  <c r="I22" i="8"/>
  <c r="I23" i="8"/>
  <c r="I24" i="8"/>
  <c r="H13" i="8"/>
  <c r="H14" i="8"/>
  <c r="H15" i="8"/>
  <c r="H16" i="8"/>
  <c r="H17" i="8"/>
  <c r="H18" i="8"/>
  <c r="H19" i="8"/>
  <c r="H20" i="8"/>
  <c r="H21" i="8"/>
  <c r="G13" i="8"/>
  <c r="G14" i="8"/>
  <c r="G15" i="8"/>
  <c r="G16" i="8"/>
  <c r="G17" i="8"/>
  <c r="G18" i="8"/>
  <c r="G19" i="8"/>
  <c r="G20" i="8"/>
  <c r="G21" i="8"/>
  <c r="G22" i="8"/>
  <c r="G23" i="8"/>
  <c r="F13" i="8"/>
  <c r="F14" i="8"/>
  <c r="F15" i="8"/>
  <c r="F16" i="8"/>
  <c r="F17" i="8"/>
  <c r="F18" i="8"/>
  <c r="F19" i="8"/>
  <c r="F20" i="8"/>
  <c r="F21" i="8"/>
  <c r="E13" i="8"/>
  <c r="E14" i="8"/>
  <c r="E15" i="8"/>
  <c r="E16" i="8"/>
  <c r="E17" i="8"/>
  <c r="E18" i="8"/>
  <c r="E19" i="8"/>
  <c r="E20" i="8"/>
  <c r="E21" i="8"/>
  <c r="E22" i="8"/>
  <c r="E23" i="8"/>
  <c r="E24" i="8"/>
  <c r="E25" i="8"/>
  <c r="E26" i="8"/>
  <c r="E27" i="8"/>
  <c r="E28" i="8"/>
  <c r="D15" i="8"/>
  <c r="D16" i="8"/>
  <c r="D17" i="8"/>
  <c r="D18" i="8"/>
  <c r="D19" i="8"/>
  <c r="D20" i="8"/>
  <c r="D21" i="8"/>
  <c r="D22" i="8"/>
  <c r="D23" i="8"/>
  <c r="D24" i="8"/>
  <c r="D13" i="8"/>
  <c r="AB4" i="7" l="1"/>
  <c r="AB12" i="7" s="1"/>
  <c r="AA8" i="7"/>
  <c r="AA5" i="7"/>
  <c r="AA11" i="7"/>
  <c r="AA6" i="7"/>
  <c r="AA9" i="7"/>
  <c r="AA10" i="7"/>
  <c r="H28" i="10"/>
  <c r="AC4" i="7" l="1"/>
  <c r="AB10" i="7"/>
  <c r="AB8" i="7"/>
  <c r="M8" i="7" s="1"/>
  <c r="AB5" i="7"/>
  <c r="AB11" i="7"/>
  <c r="AB6" i="7"/>
  <c r="AB9" i="7"/>
  <c r="G18" i="10"/>
  <c r="AC12" i="7" l="1"/>
  <c r="AC11" i="7"/>
  <c r="AD4" i="7"/>
  <c r="AC6" i="7"/>
  <c r="AC10" i="7"/>
  <c r="AC5" i="7"/>
  <c r="AC9" i="7"/>
  <c r="G5" i="7"/>
  <c r="AD12" i="7" l="1"/>
  <c r="AD11" i="7"/>
  <c r="AD9" i="7"/>
  <c r="AE4" i="7"/>
  <c r="AD10" i="7"/>
  <c r="AD6" i="7"/>
  <c r="AD5" i="7"/>
  <c r="G20" i="10"/>
  <c r="G21" i="10" s="1"/>
  <c r="AE12" i="7" l="1"/>
  <c r="AE11" i="7"/>
  <c r="AF4" i="7"/>
  <c r="AE5" i="7"/>
  <c r="AE9" i="7"/>
  <c r="AE6" i="7"/>
  <c r="AE10" i="7"/>
  <c r="G10" i="7"/>
  <c r="H10" i="7"/>
  <c r="G7" i="7"/>
  <c r="H7" i="7"/>
  <c r="G11" i="7"/>
  <c r="H11" i="7"/>
  <c r="G6" i="7"/>
  <c r="H6" i="7"/>
  <c r="H8" i="7"/>
  <c r="H9" i="7"/>
  <c r="H27" i="10" s="1"/>
  <c r="G8" i="7"/>
  <c r="G9" i="7"/>
  <c r="AF12" i="7" l="1"/>
  <c r="AF11" i="7"/>
  <c r="AG4" i="7"/>
  <c r="AF5" i="7"/>
  <c r="AF10" i="7"/>
  <c r="AF9" i="7"/>
  <c r="AF6" i="7"/>
  <c r="AG12" i="7" l="1"/>
  <c r="M12" i="7" s="1"/>
  <c r="AG11" i="7"/>
  <c r="AG6" i="7"/>
  <c r="AH4" i="7"/>
  <c r="AH11" i="7" s="1"/>
  <c r="AG5" i="7"/>
  <c r="M5" i="7" s="1"/>
  <c r="AG10" i="7"/>
  <c r="M10" i="7" s="1"/>
  <c r="AG9" i="7"/>
  <c r="M9" i="7" s="1"/>
  <c r="AI4" i="7" l="1"/>
  <c r="AI11" i="7" s="1"/>
  <c r="AH6" i="7"/>
  <c r="AJ4" i="7" l="1"/>
  <c r="AJ11" i="7" s="1"/>
  <c r="AI6" i="7"/>
  <c r="AK4" i="7" l="1"/>
  <c r="AK11" i="7" s="1"/>
  <c r="AJ6" i="7"/>
  <c r="AL4" i="7" l="1"/>
  <c r="AL11" i="7" s="1"/>
  <c r="M11" i="7" s="1"/>
  <c r="AK6" i="7"/>
  <c r="AM4" i="7" l="1"/>
  <c r="AL6" i="7"/>
  <c r="AN4" i="7" l="1"/>
  <c r="AM6" i="7"/>
  <c r="AO4" i="7" l="1"/>
  <c r="AN6" i="7"/>
  <c r="AP4" i="7" l="1"/>
  <c r="AO6" i="7"/>
  <c r="AQ4" i="7" l="1"/>
  <c r="AP6" i="7"/>
  <c r="AR4" i="7" l="1"/>
  <c r="AQ6" i="7"/>
  <c r="AS4" i="7" l="1"/>
  <c r="AR6" i="7"/>
  <c r="AT4" i="7" l="1"/>
  <c r="AS6" i="7"/>
  <c r="AU4" i="7" l="1"/>
  <c r="AT6" i="7"/>
  <c r="AV4" i="7" l="1"/>
  <c r="AU6" i="7"/>
  <c r="AW4" i="7" l="1"/>
  <c r="AV6" i="7"/>
  <c r="AX4" i="7" l="1"/>
  <c r="AW6" i="7"/>
  <c r="AY4" i="7" l="1"/>
  <c r="AX6" i="7"/>
  <c r="AZ4" i="7" l="1"/>
  <c r="AY6" i="7"/>
  <c r="BA4" i="7" l="1"/>
  <c r="BA6" i="7" s="1"/>
  <c r="AZ6" i="7"/>
  <c r="M6" i="7" l="1"/>
</calcChain>
</file>

<file path=xl/sharedStrings.xml><?xml version="1.0" encoding="utf-8"?>
<sst xmlns="http://schemas.openxmlformats.org/spreadsheetml/2006/main" count="286" uniqueCount="203">
  <si>
    <t>Amount of phytase product in the diet, g/ton</t>
  </si>
  <si>
    <t>Amount of phytase product in the diet, lb/ton</t>
  </si>
  <si>
    <t>Phytase product concentration</t>
  </si>
  <si>
    <t>Phytase units desired in diet</t>
  </si>
  <si>
    <t>Smizyme TS G5</t>
  </si>
  <si>
    <t>Quantum Blue</t>
  </si>
  <si>
    <t>Optiphos Plus</t>
  </si>
  <si>
    <t>a</t>
  </si>
  <si>
    <t>b</t>
  </si>
  <si>
    <t>aP release, %</t>
  </si>
  <si>
    <t>STTD P release, %</t>
  </si>
  <si>
    <t>Ronozyme HiPhos</t>
  </si>
  <si>
    <t>Natuphos E</t>
  </si>
  <si>
    <t>Grainzyme</t>
  </si>
  <si>
    <t>Max FTU</t>
  </si>
  <si>
    <t>Max aP release</t>
  </si>
  <si>
    <t>Max STTD P release</t>
  </si>
  <si>
    <t>2021 Regression coefficients</t>
  </si>
  <si>
    <t>Select desired product</t>
  </si>
  <si>
    <t>NON-LINEAR</t>
  </si>
  <si>
    <t>Dietary phytate P, %</t>
  </si>
  <si>
    <t>Note on Phytate P</t>
  </si>
  <si>
    <t>Note on release</t>
  </si>
  <si>
    <t>Available P release, %</t>
  </si>
  <si>
    <t>Manufacturer reported assay</t>
  </si>
  <si>
    <t>Insert information in yellow cells</t>
  </si>
  <si>
    <t>Phytase units/kg</t>
  </si>
  <si>
    <t>Phytase units/lb</t>
  </si>
  <si>
    <t>Max phytase level/kg providing release</t>
  </si>
  <si>
    <t>Based on available bone ash data</t>
  </si>
  <si>
    <t>Phytase units reported using manufacturer assay</t>
  </si>
  <si>
    <t>Standardized total tract digestible P (STTD P) release, %</t>
  </si>
  <si>
    <t>Data is summarized from manufacturer provided data reporting measures of bone mineralization.</t>
  </si>
  <si>
    <t>Bone mineralization data not available for this level of P release.</t>
  </si>
  <si>
    <t>Phytase units/gram</t>
  </si>
  <si>
    <t>Max phytase dose where bone mineralization data is available</t>
  </si>
  <si>
    <t xml:space="preserve">100% of the phytate P does not become digestible even when adequate phytase is available. </t>
  </si>
  <si>
    <t>We have entered a default of 70% to provide an estimate of the potential amount of the dietary phytate P that can be released if adequate phytase is available.</t>
  </si>
  <si>
    <t>release, %</t>
  </si>
  <si>
    <t>Based on dietary phytate P level and max release of phytate P</t>
  </si>
  <si>
    <t>Barley</t>
  </si>
  <si>
    <t>Barley, Hulless</t>
  </si>
  <si>
    <t>Beans, Faba</t>
  </si>
  <si>
    <t>Brewers Grain</t>
  </si>
  <si>
    <t>Canola, Full Fat</t>
  </si>
  <si>
    <t>Canola Meal, Expelled</t>
  </si>
  <si>
    <t>Canola Meal, Solvent Extracted</t>
  </si>
  <si>
    <t>Casava Meal</t>
  </si>
  <si>
    <t>Citrus Pulp</t>
  </si>
  <si>
    <t>Copra Meal</t>
  </si>
  <si>
    <t>Corn, Yellow Dent</t>
  </si>
  <si>
    <t>Corn, Nutridense</t>
  </si>
  <si>
    <t>Corn DDGS, &gt;10% Oil</t>
  </si>
  <si>
    <t>Corn DDGS, &gt;6 and &lt;9% Oil</t>
  </si>
  <si>
    <t>Corn DDGS, &lt;4% Oil</t>
  </si>
  <si>
    <t>Corn HP DDG</t>
  </si>
  <si>
    <t>Corn Germ</t>
  </si>
  <si>
    <t>Corn Gluten Feed</t>
  </si>
  <si>
    <t>Corn Grits, Hominy Feed</t>
  </si>
  <si>
    <t>Lupins</t>
  </si>
  <si>
    <t>Molasses, Sugarcane</t>
  </si>
  <si>
    <t>Oats</t>
  </si>
  <si>
    <t>Peas, Field Peas</t>
  </si>
  <si>
    <t>Rice</t>
  </si>
  <si>
    <t>Rice Bran</t>
  </si>
  <si>
    <t>Rice, Broken</t>
  </si>
  <si>
    <t>Rye</t>
  </si>
  <si>
    <t>Sesame Meal</t>
  </si>
  <si>
    <t>Sorghum</t>
  </si>
  <si>
    <t>Soybeans, Full Fat</t>
  </si>
  <si>
    <t>Soybean Meal, Solvent Extracted</t>
  </si>
  <si>
    <t>Soybean Meal, Dehull, Sol Extr</t>
  </si>
  <si>
    <t>Soybean Hulls</t>
  </si>
  <si>
    <t>Sunflower Meal, Solvent Extracted</t>
  </si>
  <si>
    <t>Sunflower Meal, Dehulled, Solvent Extr</t>
  </si>
  <si>
    <t>Triticale</t>
  </si>
  <si>
    <t>Wheat, Hard Red</t>
  </si>
  <si>
    <t>Wheat, Soft Red</t>
  </si>
  <si>
    <t>Wheat Bran</t>
  </si>
  <si>
    <t>Wheat Middlings</t>
  </si>
  <si>
    <t>Wheat DDGS</t>
  </si>
  <si>
    <t>Ingredient</t>
  </si>
  <si>
    <t>Phytate P, %</t>
  </si>
  <si>
    <t>Phytate P Ingredient Loading Values</t>
  </si>
  <si>
    <t>Diet 1</t>
  </si>
  <si>
    <t>Diet 2</t>
  </si>
  <si>
    <t>Diet 3</t>
  </si>
  <si>
    <t>Premix inclusion, lb/ton</t>
  </si>
  <si>
    <t>Phytase level/kg diet</t>
  </si>
  <si>
    <t>Phytase level/lb diet</t>
  </si>
  <si>
    <t>Guaraneteed potency per lb premix</t>
  </si>
  <si>
    <t>Diet 4</t>
  </si>
  <si>
    <t>Diet 5</t>
  </si>
  <si>
    <t>Diet 6</t>
  </si>
  <si>
    <t>Phase 1 Nursery diet</t>
  </si>
  <si>
    <t>Phase 2 Nursery diet</t>
  </si>
  <si>
    <t>Phase 3 Nursery diet</t>
  </si>
  <si>
    <t>Early finisher</t>
  </si>
  <si>
    <t>Late finisher</t>
  </si>
  <si>
    <t>Gestation</t>
  </si>
  <si>
    <t>Lactation</t>
  </si>
  <si>
    <t>0.21-0.23</t>
  </si>
  <si>
    <t>0.23-0.25</t>
  </si>
  <si>
    <t>0.25-0.26</t>
  </si>
  <si>
    <t>0.15-0.16</t>
  </si>
  <si>
    <t>0.24-0.26</t>
  </si>
  <si>
    <t>0.23-0.24</t>
  </si>
  <si>
    <t>Diet</t>
  </si>
  <si>
    <t>Estimated phytate P levels for various stages</t>
  </si>
  <si>
    <t>Enter if known, if not known examples are listed in Ingredient Phytate P tab</t>
  </si>
  <si>
    <t>Diet 7</t>
  </si>
  <si>
    <t>Enter if known, if not known examples are listed in Ingredient Phytate P tab for various production stages</t>
  </si>
  <si>
    <t>Created by the KSU Applied Swine Nutrition team</t>
  </si>
  <si>
    <t>Overview of tool:</t>
  </si>
  <si>
    <t>Instructions for use:</t>
  </si>
  <si>
    <t xml:space="preserve"> (STTD) release, %</t>
  </si>
  <si>
    <r>
      <t>Phytase units/kg to provide specific level of phosphorous release</t>
    </r>
    <r>
      <rPr>
        <vertAlign val="superscript"/>
        <sz val="12"/>
        <rFont val="Arial"/>
        <family val="2"/>
      </rPr>
      <t>1</t>
    </r>
  </si>
  <si>
    <r>
      <t>&gt; Max release</t>
    </r>
    <r>
      <rPr>
        <vertAlign val="superscript"/>
        <sz val="10"/>
        <color theme="5" tint="-0.249977111117893"/>
        <rFont val="Arial"/>
        <family val="2"/>
      </rPr>
      <t>2</t>
    </r>
  </si>
  <si>
    <r>
      <t>Max phytase dose</t>
    </r>
    <r>
      <rPr>
        <vertAlign val="superscript"/>
        <sz val="10"/>
        <color theme="1"/>
        <rFont val="Arial"/>
        <family val="2"/>
      </rPr>
      <t>3</t>
    </r>
  </si>
  <si>
    <r>
      <t>Standardized total tract digestible P (STTD P) and available P release, %</t>
    </r>
    <r>
      <rPr>
        <vertAlign val="superscript"/>
        <sz val="12"/>
        <color theme="1"/>
        <rFont val="Arial"/>
        <family val="2"/>
      </rPr>
      <t>2</t>
    </r>
  </si>
  <si>
    <r>
      <t>Max release of phytate P, %</t>
    </r>
    <r>
      <rPr>
        <vertAlign val="superscript"/>
        <sz val="10"/>
        <color theme="1"/>
        <rFont val="Arial"/>
        <family val="2"/>
      </rPr>
      <t>1</t>
    </r>
  </si>
  <si>
    <r>
      <t>Max release of phytate P</t>
    </r>
    <r>
      <rPr>
        <vertAlign val="superscript"/>
        <sz val="12"/>
        <color theme="1"/>
        <rFont val="Arial"/>
        <family val="2"/>
      </rPr>
      <t>1</t>
    </r>
  </si>
  <si>
    <r>
      <t>Maximum STTD P release from phytate P, %</t>
    </r>
    <r>
      <rPr>
        <vertAlign val="superscript"/>
        <sz val="12"/>
        <color theme="1"/>
        <rFont val="Arial"/>
        <family val="2"/>
      </rPr>
      <t>2</t>
    </r>
  </si>
  <si>
    <r>
      <t>Maximum aP release from phytate P, %</t>
    </r>
    <r>
      <rPr>
        <vertAlign val="superscript"/>
        <sz val="12"/>
        <color theme="1"/>
        <rFont val="Arial"/>
        <family val="2"/>
      </rPr>
      <t>2</t>
    </r>
  </si>
  <si>
    <r>
      <t>Dietary phytate P, %</t>
    </r>
    <r>
      <rPr>
        <vertAlign val="superscript"/>
        <sz val="12"/>
        <color theme="1"/>
        <rFont val="Arial"/>
        <family val="2"/>
      </rPr>
      <t>3</t>
    </r>
  </si>
  <si>
    <t>Phosphorous form</t>
  </si>
  <si>
    <t>Available P</t>
  </si>
  <si>
    <t>STTD P</t>
  </si>
  <si>
    <t>Desired release, %</t>
  </si>
  <si>
    <r>
      <t>Maximum release from phytate P, %</t>
    </r>
    <r>
      <rPr>
        <vertAlign val="superscript"/>
        <sz val="12"/>
        <color theme="1"/>
        <rFont val="Arial"/>
        <family val="2"/>
      </rPr>
      <t>2</t>
    </r>
  </si>
  <si>
    <t>Based on available bone mineralization data</t>
  </si>
  <si>
    <t>Phytase units/kg required for desired release</t>
  </si>
  <si>
    <t>Limit of selected</t>
  </si>
  <si>
    <t>Agrivida</t>
  </si>
  <si>
    <t>BASF</t>
  </si>
  <si>
    <t>Huvepharma</t>
  </si>
  <si>
    <t>AB Vista</t>
  </si>
  <si>
    <t>DSM</t>
  </si>
  <si>
    <t>NRC, 2012</t>
  </si>
  <si>
    <t>n</t>
  </si>
  <si>
    <t>Bakery meal</t>
  </si>
  <si>
    <t>Canola expellers</t>
  </si>
  <si>
    <t>Canola meal</t>
  </si>
  <si>
    <t>Copra expellers</t>
  </si>
  <si>
    <t>Copra meal</t>
  </si>
  <si>
    <t>Corn</t>
  </si>
  <si>
    <t>Corn germ</t>
  </si>
  <si>
    <t>Corn germ meal</t>
  </si>
  <si>
    <t>Corn gluten feed</t>
  </si>
  <si>
    <t>Corn gluten meal</t>
  </si>
  <si>
    <t>Corn, DDGS, high-oil</t>
  </si>
  <si>
    <t>Corn, DDGS, low-oil</t>
  </si>
  <si>
    <t>Corn, DDGS, mid-oil</t>
  </si>
  <si>
    <t>Corn, hominy feed</t>
  </si>
  <si>
    <t>Corn, HPDDG</t>
  </si>
  <si>
    <t>Cottonseed meal</t>
  </si>
  <si>
    <t>Field peas</t>
  </si>
  <si>
    <t>Hybrid rye</t>
  </si>
  <si>
    <t>Lemna protein concentrate</t>
  </si>
  <si>
    <t>Palm kernel expellers</t>
  </si>
  <si>
    <t>Palm kernel meal</t>
  </si>
  <si>
    <t>Potato protein concentrate (isolate)</t>
  </si>
  <si>
    <t>Rice bran</t>
  </si>
  <si>
    <t>Rice bran, defatted</t>
  </si>
  <si>
    <t>Rice mill feed</t>
  </si>
  <si>
    <t>Rice, broken</t>
  </si>
  <si>
    <t>Rice, brown</t>
  </si>
  <si>
    <t>Soy protein concentrate</t>
  </si>
  <si>
    <t>Soybean meal, dehulled (CP ≥ 47%)</t>
  </si>
  <si>
    <t>Soybean meal, dehulled (CP &lt; 47%)</t>
  </si>
  <si>
    <t>Soybean expellers</t>
  </si>
  <si>
    <t>Soybean meal, fermented</t>
  </si>
  <si>
    <t>Sugar beet pulp</t>
  </si>
  <si>
    <t>Sunflower expellers</t>
  </si>
  <si>
    <t>Sunflower meal, partially dehulled</t>
  </si>
  <si>
    <t>Sunflower, full fat</t>
  </si>
  <si>
    <t>Wheat</t>
  </si>
  <si>
    <t>Wheat germ</t>
  </si>
  <si>
    <t>Wheat, hard red</t>
  </si>
  <si>
    <t>Wheat, soft red</t>
  </si>
  <si>
    <t>Yeast, brewers</t>
  </si>
  <si>
    <t>Yeast, torula yeast</t>
  </si>
  <si>
    <t>Based on NRC (2012) loading values</t>
  </si>
  <si>
    <t>Estimated*</t>
  </si>
  <si>
    <t>* Estimated from high oil DDGS.</t>
  </si>
  <si>
    <t>Stein Laboratory, University of Illinois</t>
  </si>
  <si>
    <t>Axtra PHY GOLD</t>
  </si>
  <si>
    <t>IFF/Danisco</t>
  </si>
  <si>
    <t>KSU AOAC release</t>
  </si>
  <si>
    <t>KSU manufacturer unit release</t>
  </si>
  <si>
    <t>Sunphase HT</t>
  </si>
  <si>
    <t>Wuhan Sunhy Biology Co</t>
  </si>
  <si>
    <t>Fall 2022</t>
  </si>
  <si>
    <t>Developed: June 2021</t>
  </si>
  <si>
    <t>Updated: November 2022</t>
  </si>
  <si>
    <t>Digestible P</t>
  </si>
  <si>
    <t>Barentz</t>
  </si>
  <si>
    <t>2022 KSU Phytase Calculator</t>
  </si>
  <si>
    <t>2022 KSU Phytase Calculator - Phytase inclusion table</t>
  </si>
  <si>
    <t>2022 KSU Phytase Calculator - Phytase release table</t>
  </si>
  <si>
    <t>2022 KSU Phytase Calculator - Product Inclusion Calculator</t>
  </si>
  <si>
    <t>2022 KSU Phytase Calculator - Release Calculator</t>
  </si>
  <si>
    <t>2022 KSU Phytase Calculator - Premix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</si>
</sst>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34" x14ac:knownFonts="1">
    <font>
      <sz val="12"/>
      <color theme="1"/>
      <name val="Calibri"/>
      <family val="2"/>
      <scheme val="minor"/>
    </font>
    <font>
      <sz val="12"/>
      <color theme="1"/>
      <name val="Calibri"/>
      <family val="2"/>
    </font>
    <font>
      <sz val="12"/>
      <color theme="1"/>
      <name val="Arial"/>
      <family val="2"/>
    </font>
    <font>
      <sz val="14"/>
      <color theme="1"/>
      <name val="Arial"/>
      <family val="2"/>
    </font>
    <font>
      <b/>
      <sz val="18"/>
      <color theme="1"/>
      <name val="Calibri"/>
      <family val="2"/>
      <scheme val="minor"/>
    </font>
    <font>
      <sz val="12"/>
      <color theme="1"/>
      <name val="Calibri"/>
      <family val="2"/>
      <scheme val="minor"/>
    </font>
    <font>
      <sz val="20"/>
      <color theme="1"/>
      <name val="Arial"/>
      <family val="2"/>
    </font>
    <font>
      <b/>
      <sz val="30"/>
      <color rgb="FF4E2981"/>
      <name val="Calibri"/>
      <family val="2"/>
    </font>
    <font>
      <sz val="8"/>
      <color theme="1"/>
      <name val="Arial"/>
      <family val="2"/>
    </font>
    <font>
      <sz val="12"/>
      <color rgb="FFFF0000"/>
      <name val="Arial"/>
      <family val="2"/>
    </font>
    <font>
      <sz val="20"/>
      <color theme="1"/>
      <name val="Calibri"/>
      <family val="2"/>
      <scheme val="minor"/>
    </font>
    <font>
      <vertAlign val="superscript"/>
      <sz val="12"/>
      <name val="Arial"/>
      <family val="2"/>
    </font>
    <font>
      <b/>
      <sz val="28"/>
      <color rgb="FF4E2981"/>
      <name val="Calibri"/>
      <family val="2"/>
    </font>
    <font>
      <sz val="10"/>
      <color theme="1"/>
      <name val="Arial"/>
      <family val="2"/>
    </font>
    <font>
      <sz val="9"/>
      <color theme="1"/>
      <name val="Arial"/>
      <family val="2"/>
    </font>
    <font>
      <sz val="10"/>
      <color rgb="FF000000"/>
      <name val="Arial"/>
      <family val="2"/>
    </font>
    <font>
      <sz val="10"/>
      <color theme="5" tint="-0.249977111117893"/>
      <name val="Arial"/>
      <family val="2"/>
    </font>
    <font>
      <vertAlign val="superscript"/>
      <sz val="10"/>
      <color theme="5" tint="-0.249977111117893"/>
      <name val="Arial"/>
      <family val="2"/>
    </font>
    <font>
      <b/>
      <sz val="18"/>
      <color rgb="FF4E2981"/>
      <name val="Calibri"/>
      <family val="2"/>
    </font>
    <font>
      <vertAlign val="superscript"/>
      <sz val="10"/>
      <color theme="1"/>
      <name val="Arial"/>
      <family val="2"/>
    </font>
    <font>
      <b/>
      <sz val="18"/>
      <color theme="1"/>
      <name val="Arial"/>
      <family val="2"/>
    </font>
    <font>
      <vertAlign val="superscript"/>
      <sz val="12"/>
      <color theme="1"/>
      <name val="Arial"/>
      <family val="2"/>
    </font>
    <font>
      <sz val="14"/>
      <color theme="1"/>
      <name val="Calibri"/>
      <family val="2"/>
    </font>
    <font>
      <b/>
      <sz val="14"/>
      <color theme="1"/>
      <name val="Arial"/>
      <family val="2"/>
    </font>
    <font>
      <b/>
      <sz val="12"/>
      <color theme="1"/>
      <name val="Arial"/>
      <family val="2"/>
    </font>
    <font>
      <b/>
      <sz val="11"/>
      <color theme="1"/>
      <name val="Arial"/>
      <family val="2"/>
    </font>
    <font>
      <sz val="9"/>
      <color rgb="FF000000"/>
      <name val="Arial"/>
      <family val="2"/>
    </font>
    <font>
      <sz val="14"/>
      <color theme="1"/>
      <name val="Calibri"/>
      <family val="2"/>
      <scheme val="minor"/>
    </font>
    <font>
      <b/>
      <sz val="14"/>
      <color rgb="FF4E2D7F"/>
      <name val="Arial"/>
      <family val="2"/>
    </font>
    <font>
      <sz val="18"/>
      <color theme="1"/>
      <name val="Calibri"/>
      <family val="2"/>
      <scheme val="minor"/>
    </font>
    <font>
      <b/>
      <sz val="24"/>
      <color rgb="FF4E2981"/>
      <name val="Calibri"/>
      <family val="2"/>
    </font>
    <font>
      <b/>
      <sz val="14"/>
      <color rgb="FFFF0000"/>
      <name val="Arial"/>
      <family val="2"/>
    </font>
    <font>
      <i/>
      <sz val="14"/>
      <color theme="1"/>
      <name val="Arial"/>
      <family val="2"/>
    </font>
    <font>
      <sz val="18"/>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2F2F2"/>
        <bgColor rgb="FF000000"/>
      </patternFill>
    </fill>
    <fill>
      <patternFill patternType="solid">
        <fgColor rgb="FFFFFD78"/>
        <bgColor indexed="64"/>
      </patternFill>
    </fill>
    <fill>
      <patternFill patternType="solid">
        <fgColor theme="5" tint="0.59999389629810485"/>
        <bgColor indexed="64"/>
      </patternFill>
    </fill>
    <fill>
      <patternFill patternType="solid">
        <fgColor theme="9"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23">
    <xf numFmtId="0" fontId="0" fillId="0" borderId="0" xfId="0"/>
    <xf numFmtId="0" fontId="1" fillId="4" borderId="0" xfId="0" applyFont="1" applyFill="1"/>
    <xf numFmtId="0" fontId="3" fillId="2" borderId="0" xfId="0" applyFont="1" applyFill="1"/>
    <xf numFmtId="0" fontId="0" fillId="2" borderId="0" xfId="0" applyFill="1"/>
    <xf numFmtId="0" fontId="3" fillId="2" borderId="0" xfId="0" applyFont="1" applyFill="1" applyAlignment="1">
      <alignment vertical="center"/>
    </xf>
    <xf numFmtId="0" fontId="2" fillId="2" borderId="0" xfId="0" applyFont="1" applyFill="1" applyAlignment="1">
      <alignment horizontal="center"/>
    </xf>
    <xf numFmtId="0" fontId="0" fillId="0" borderId="0" xfId="0" applyAlignment="1">
      <alignment horizontal="center"/>
    </xf>
    <xf numFmtId="0" fontId="0" fillId="0" borderId="1" xfId="0" applyBorder="1" applyAlignment="1">
      <alignment horizontal="center"/>
    </xf>
    <xf numFmtId="2" fontId="3" fillId="2" borderId="1" xfId="0" applyNumberFormat="1" applyFont="1" applyFill="1" applyBorder="1" applyAlignment="1">
      <alignment horizontal="center" vertical="center"/>
    </xf>
    <xf numFmtId="165" fontId="0" fillId="0" borderId="0" xfId="0" applyNumberFormat="1" applyAlignment="1">
      <alignment horizontal="center"/>
    </xf>
    <xf numFmtId="0" fontId="3" fillId="2" borderId="3" xfId="0" applyFont="1" applyFill="1" applyBorder="1" applyAlignment="1">
      <alignment horizontal="right" vertical="center"/>
    </xf>
    <xf numFmtId="0" fontId="3" fillId="2" borderId="0" xfId="0" applyFont="1" applyFill="1" applyAlignment="1">
      <alignment horizontal="right"/>
    </xf>
    <xf numFmtId="2" fontId="3" fillId="2" borderId="0" xfId="0" applyNumberFormat="1" applyFont="1" applyFill="1" applyAlignment="1">
      <alignment horizontal="center" vertical="center"/>
    </xf>
    <xf numFmtId="2" fontId="3" fillId="3" borderId="0" xfId="0" applyNumberFormat="1" applyFont="1" applyFill="1" applyAlignment="1">
      <alignment horizontal="center" vertical="center"/>
    </xf>
    <xf numFmtId="2" fontId="3" fillId="2" borderId="6" xfId="0" applyNumberFormat="1" applyFont="1" applyFill="1" applyBorder="1" applyAlignment="1">
      <alignment horizontal="center" vertical="center"/>
    </xf>
    <xf numFmtId="0" fontId="4" fillId="0" borderId="0" xfId="0" applyFont="1"/>
    <xf numFmtId="0" fontId="3" fillId="2" borderId="0" xfId="0" applyFont="1" applyFill="1" applyAlignment="1">
      <alignment horizontal="center"/>
    </xf>
    <xf numFmtId="0" fontId="3" fillId="2" borderId="0" xfId="0" applyFont="1" applyFill="1" applyAlignment="1">
      <alignment horizontal="right" vertical="center"/>
    </xf>
    <xf numFmtId="0" fontId="8" fillId="2" borderId="0" xfId="0" applyFont="1" applyFill="1" applyAlignment="1">
      <alignment vertical="top"/>
    </xf>
    <xf numFmtId="1" fontId="3" fillId="2" borderId="0" xfId="0" applyNumberFormat="1" applyFont="1" applyFill="1" applyAlignment="1">
      <alignment horizontal="left" vertical="center"/>
    </xf>
    <xf numFmtId="1" fontId="3" fillId="3" borderId="0" xfId="0" applyNumberFormat="1" applyFont="1" applyFill="1" applyAlignment="1">
      <alignment horizontal="left" vertical="center"/>
    </xf>
    <xf numFmtId="1" fontId="3" fillId="2" borderId="6" xfId="0" applyNumberFormat="1" applyFont="1" applyFill="1" applyBorder="1" applyAlignment="1">
      <alignment horizontal="left" vertical="center"/>
    </xf>
    <xf numFmtId="1" fontId="3" fillId="2" borderId="1" xfId="0" applyNumberFormat="1" applyFont="1" applyFill="1" applyBorder="1" applyAlignment="1">
      <alignment horizontal="left" vertical="center"/>
    </xf>
    <xf numFmtId="0" fontId="2" fillId="2" borderId="0" xfId="0" applyFont="1" applyFill="1" applyAlignment="1">
      <alignment vertical="center"/>
    </xf>
    <xf numFmtId="0" fontId="10" fillId="2" borderId="0" xfId="0" applyFont="1" applyFill="1"/>
    <xf numFmtId="0" fontId="2" fillId="2" borderId="0" xfId="0" applyFont="1" applyFill="1"/>
    <xf numFmtId="0" fontId="2" fillId="2" borderId="1" xfId="0" applyFont="1" applyFill="1" applyBorder="1" applyAlignment="1">
      <alignment horizontal="center" wrapText="1"/>
    </xf>
    <xf numFmtId="0" fontId="13" fillId="2" borderId="0" xfId="0" applyFont="1" applyFill="1" applyAlignment="1">
      <alignment horizontal="center" wrapText="1"/>
    </xf>
    <xf numFmtId="0" fontId="13" fillId="2" borderId="1" xfId="0" applyFont="1" applyFill="1" applyBorder="1" applyAlignment="1">
      <alignment horizontal="center" wrapText="1"/>
    </xf>
    <xf numFmtId="2" fontId="13" fillId="2" borderId="0" xfId="0" applyNumberFormat="1" applyFont="1" applyFill="1" applyAlignment="1">
      <alignment horizontal="center" vertical="center"/>
    </xf>
    <xf numFmtId="1" fontId="13" fillId="2" borderId="0" xfId="0" applyNumberFormat="1" applyFont="1" applyFill="1" applyAlignment="1">
      <alignment horizontal="center" vertical="center"/>
    </xf>
    <xf numFmtId="2" fontId="13" fillId="3" borderId="0" xfId="0" applyNumberFormat="1" applyFont="1" applyFill="1" applyAlignment="1">
      <alignment horizontal="center" vertical="center"/>
    </xf>
    <xf numFmtId="1" fontId="13" fillId="3" borderId="0" xfId="0" applyNumberFormat="1" applyFont="1" applyFill="1" applyAlignment="1">
      <alignment horizontal="center" vertical="center"/>
    </xf>
    <xf numFmtId="1" fontId="16" fillId="2" borderId="0" xfId="0" applyNumberFormat="1" applyFont="1" applyFill="1" applyAlignment="1">
      <alignment horizontal="center" vertical="center"/>
    </xf>
    <xf numFmtId="1" fontId="16" fillId="3" borderId="0" xfId="0" applyNumberFormat="1" applyFont="1" applyFill="1" applyAlignment="1">
      <alignment horizontal="center" vertical="center"/>
    </xf>
    <xf numFmtId="2" fontId="13" fillId="2" borderId="1" xfId="0" applyNumberFormat="1" applyFont="1" applyFill="1" applyBorder="1" applyAlignment="1">
      <alignment horizontal="center" vertical="center"/>
    </xf>
    <xf numFmtId="1" fontId="13" fillId="2" borderId="1" xfId="0" applyNumberFormat="1" applyFont="1" applyFill="1" applyBorder="1" applyAlignment="1">
      <alignment horizontal="center" vertical="center"/>
    </xf>
    <xf numFmtId="1" fontId="16" fillId="2" borderId="1" xfId="0" applyNumberFormat="1" applyFont="1" applyFill="1" applyBorder="1" applyAlignment="1">
      <alignment horizontal="center" vertical="center"/>
    </xf>
    <xf numFmtId="1" fontId="13" fillId="3" borderId="1" xfId="0" applyNumberFormat="1" applyFont="1" applyFill="1" applyBorder="1" applyAlignment="1">
      <alignment horizontal="center" vertical="center"/>
    </xf>
    <xf numFmtId="0" fontId="13" fillId="2" borderId="0" xfId="0" applyFont="1" applyFill="1" applyAlignment="1">
      <alignment vertical="top"/>
    </xf>
    <xf numFmtId="0" fontId="15" fillId="0" borderId="0" xfId="0" applyFont="1"/>
    <xf numFmtId="0" fontId="13" fillId="2" borderId="0" xfId="0" applyFont="1" applyFill="1"/>
    <xf numFmtId="0" fontId="15" fillId="2" borderId="1" xfId="0" applyFont="1" applyFill="1" applyBorder="1" applyAlignment="1">
      <alignment horizontal="center" wrapText="1"/>
    </xf>
    <xf numFmtId="0" fontId="13" fillId="2" borderId="1" xfId="0" applyFont="1" applyFill="1" applyBorder="1" applyAlignment="1">
      <alignment horizontal="center"/>
    </xf>
    <xf numFmtId="1" fontId="13" fillId="3" borderId="4" xfId="0" applyNumberFormat="1" applyFont="1" applyFill="1" applyBorder="1" applyAlignment="1">
      <alignment horizontal="center" vertical="center"/>
    </xf>
    <xf numFmtId="2" fontId="13" fillId="3" borderId="4" xfId="0" applyNumberFormat="1" applyFont="1" applyFill="1" applyBorder="1" applyAlignment="1">
      <alignment horizontal="center" vertical="center"/>
    </xf>
    <xf numFmtId="1" fontId="13" fillId="2" borderId="6" xfId="0" applyNumberFormat="1" applyFont="1" applyFill="1" applyBorder="1" applyAlignment="1">
      <alignment horizontal="center" vertical="center"/>
    </xf>
    <xf numFmtId="2" fontId="13" fillId="2" borderId="6" xfId="0" applyNumberFormat="1" applyFont="1" applyFill="1" applyBorder="1" applyAlignment="1">
      <alignment horizontal="center" vertical="center"/>
    </xf>
    <xf numFmtId="1" fontId="13" fillId="3" borderId="8" xfId="0" applyNumberFormat="1" applyFont="1" applyFill="1" applyBorder="1" applyAlignment="1">
      <alignment horizontal="center" vertical="center"/>
    </xf>
    <xf numFmtId="0" fontId="22" fillId="4" borderId="0" xfId="0" applyFont="1" applyFill="1"/>
    <xf numFmtId="2" fontId="23" fillId="6" borderId="2" xfId="0" applyNumberFormat="1" applyFont="1" applyFill="1" applyBorder="1" applyAlignment="1" applyProtection="1">
      <alignment horizontal="center" vertical="center"/>
      <protection locked="0"/>
    </xf>
    <xf numFmtId="9" fontId="23" fillId="6" borderId="2" xfId="1" applyFont="1" applyFill="1" applyBorder="1" applyAlignment="1" applyProtection="1">
      <alignment horizontal="center" vertical="center"/>
      <protection locked="0"/>
    </xf>
    <xf numFmtId="0" fontId="2" fillId="2" borderId="0" xfId="0" applyFont="1" applyFill="1" applyAlignment="1">
      <alignment horizontal="right"/>
    </xf>
    <xf numFmtId="2" fontId="24" fillId="6" borderId="2" xfId="0" applyNumberFormat="1" applyFont="1" applyFill="1" applyBorder="1" applyAlignment="1" applyProtection="1">
      <alignment horizontal="center" vertical="center"/>
      <protection locked="0"/>
    </xf>
    <xf numFmtId="9" fontId="24" fillId="6" borderId="2" xfId="1" applyFont="1" applyFill="1" applyBorder="1" applyAlignment="1" applyProtection="1">
      <alignment horizontal="center" vertical="center"/>
      <protection locked="0"/>
    </xf>
    <xf numFmtId="0" fontId="13" fillId="2" borderId="0" xfId="0" applyFont="1" applyFill="1" applyAlignment="1">
      <alignment horizontal="center" vertical="center" wrapText="1"/>
    </xf>
    <xf numFmtId="0" fontId="13" fillId="2" borderId="0" xfId="0" applyFont="1" applyFill="1" applyAlignment="1">
      <alignment horizontal="right"/>
    </xf>
    <xf numFmtId="0" fontId="13" fillId="2" borderId="0" xfId="0" applyFont="1" applyFill="1" applyAlignment="1">
      <alignment horizontal="center"/>
    </xf>
    <xf numFmtId="0" fontId="14" fillId="2" borderId="0" xfId="0" applyFont="1" applyFill="1" applyAlignment="1">
      <alignment vertical="center"/>
    </xf>
    <xf numFmtId="0" fontId="26" fillId="0" borderId="0" xfId="0" applyFont="1" applyAlignment="1">
      <alignment vertical="center"/>
    </xf>
    <xf numFmtId="0" fontId="2" fillId="2" borderId="0" xfId="0" applyFont="1" applyFill="1" applyAlignment="1">
      <alignment horizontal="right" vertical="center"/>
    </xf>
    <xf numFmtId="0" fontId="27" fillId="2" borderId="0" xfId="0" applyFont="1" applyFill="1"/>
    <xf numFmtId="0" fontId="23" fillId="6" borderId="2" xfId="0" applyFont="1" applyFill="1" applyBorder="1" applyAlignment="1" applyProtection="1">
      <alignment horizontal="center" vertical="center"/>
      <protection locked="0"/>
    </xf>
    <xf numFmtId="3" fontId="23" fillId="6" borderId="2" xfId="0" applyNumberFormat="1" applyFont="1" applyFill="1" applyBorder="1" applyAlignment="1" applyProtection="1">
      <alignment horizontal="center" vertical="center"/>
      <protection locked="0"/>
    </xf>
    <xf numFmtId="1" fontId="28" fillId="3" borderId="2" xfId="0" applyNumberFormat="1" applyFont="1" applyFill="1" applyBorder="1" applyAlignment="1">
      <alignment horizontal="center"/>
    </xf>
    <xf numFmtId="2" fontId="28" fillId="7" borderId="2" xfId="0" applyNumberFormat="1" applyFont="1" applyFill="1" applyBorder="1" applyAlignment="1">
      <alignment horizontal="center"/>
    </xf>
    <xf numFmtId="3" fontId="2" fillId="2" borderId="0" xfId="0" applyNumberFormat="1" applyFont="1" applyFill="1"/>
    <xf numFmtId="0" fontId="9" fillId="2" borderId="2" xfId="0" applyFont="1" applyFill="1" applyBorder="1"/>
    <xf numFmtId="0" fontId="9" fillId="2" borderId="2" xfId="0" applyFont="1" applyFill="1" applyBorder="1" applyAlignment="1">
      <alignment horizontal="center"/>
    </xf>
    <xf numFmtId="164" fontId="28" fillId="3" borderId="2" xfId="0" applyNumberFormat="1" applyFont="1" applyFill="1" applyBorder="1" applyAlignment="1">
      <alignment horizontal="center"/>
    </xf>
    <xf numFmtId="2" fontId="28" fillId="3" borderId="2" xfId="0" applyNumberFormat="1" applyFont="1" applyFill="1" applyBorder="1" applyAlignment="1">
      <alignment horizontal="center"/>
    </xf>
    <xf numFmtId="0" fontId="2" fillId="4" borderId="0" xfId="0" applyFont="1" applyFill="1" applyAlignment="1">
      <alignment horizontal="right"/>
    </xf>
    <xf numFmtId="1" fontId="28" fillId="7" borderId="2" xfId="0" applyNumberFormat="1" applyFont="1" applyFill="1" applyBorder="1" applyAlignment="1">
      <alignment horizontal="center"/>
    </xf>
    <xf numFmtId="0" fontId="9" fillId="2" borderId="2" xfId="0" applyFont="1" applyFill="1" applyBorder="1" applyAlignment="1">
      <alignment horizontal="center" vertical="center"/>
    </xf>
    <xf numFmtId="0" fontId="9" fillId="2" borderId="0" xfId="0" applyFont="1" applyFill="1"/>
    <xf numFmtId="0" fontId="9" fillId="2" borderId="0" xfId="0" applyFont="1" applyFill="1" applyAlignment="1">
      <alignment horizontal="center"/>
    </xf>
    <xf numFmtId="0" fontId="2" fillId="2" borderId="0" xfId="0" applyFont="1" applyFill="1" applyAlignment="1">
      <alignment horizontal="left"/>
    </xf>
    <xf numFmtId="2" fontId="31" fillId="0" borderId="0" xfId="0" applyNumberFormat="1" applyFont="1" applyAlignment="1">
      <alignment horizontal="left"/>
    </xf>
    <xf numFmtId="0" fontId="15" fillId="2" borderId="1" xfId="0" applyFont="1" applyFill="1" applyBorder="1" applyAlignment="1">
      <alignment horizontal="center" vertical="center" wrapText="1"/>
    </xf>
    <xf numFmtId="0" fontId="15" fillId="2" borderId="0" xfId="0" applyFont="1" applyFill="1" applyAlignment="1">
      <alignment horizontal="center" vertical="center" wrapText="1"/>
    </xf>
    <xf numFmtId="1" fontId="3" fillId="2" borderId="6" xfId="0" applyNumberFormat="1" applyFont="1" applyFill="1" applyBorder="1" applyAlignment="1">
      <alignment horizontal="center" vertical="center"/>
    </xf>
    <xf numFmtId="0" fontId="6" fillId="2" borderId="0" xfId="0" applyFont="1" applyFill="1"/>
    <xf numFmtId="1" fontId="3" fillId="2" borderId="0" xfId="0" applyNumberFormat="1" applyFont="1" applyFill="1" applyAlignment="1">
      <alignment horizontal="center" vertical="center"/>
    </xf>
    <xf numFmtId="1" fontId="3" fillId="3" borderId="0" xfId="0" applyNumberFormat="1" applyFont="1" applyFill="1" applyAlignment="1">
      <alignment horizontal="center" vertical="center"/>
    </xf>
    <xf numFmtId="2" fontId="32" fillId="2" borderId="6" xfId="0" applyNumberFormat="1" applyFont="1" applyFill="1" applyBorder="1" applyAlignment="1">
      <alignment horizontal="center" vertical="center"/>
    </xf>
    <xf numFmtId="165" fontId="0" fillId="0" borderId="0" xfId="0" applyNumberFormat="1"/>
    <xf numFmtId="0" fontId="0" fillId="0" borderId="1" xfId="0" applyBorder="1"/>
    <xf numFmtId="0" fontId="0" fillId="8" borderId="0" xfId="0" applyFill="1" applyAlignment="1">
      <alignment horizontal="center"/>
    </xf>
    <xf numFmtId="2" fontId="0" fillId="0" borderId="0" xfId="0" applyNumberFormat="1"/>
    <xf numFmtId="17" fontId="0" fillId="2" borderId="0" xfId="0" applyNumberFormat="1" applyFill="1"/>
    <xf numFmtId="0" fontId="15" fillId="2" borderId="0" xfId="0" applyFont="1" applyFill="1" applyAlignment="1">
      <alignment horizontal="center" wrapText="1"/>
    </xf>
    <xf numFmtId="0" fontId="15" fillId="2" borderId="4" xfId="0" applyFont="1" applyFill="1" applyBorder="1" applyAlignment="1">
      <alignment horizontal="center" wrapText="1"/>
    </xf>
    <xf numFmtId="0" fontId="12" fillId="5" borderId="2" xfId="0" applyFont="1" applyFill="1" applyBorder="1" applyAlignment="1">
      <alignment horizontal="center" vertical="center"/>
    </xf>
    <xf numFmtId="0" fontId="12" fillId="5" borderId="10" xfId="0" applyFont="1" applyFill="1" applyBorder="1" applyAlignment="1">
      <alignment horizontal="center" vertical="center"/>
    </xf>
    <xf numFmtId="0" fontId="29" fillId="3" borderId="11" xfId="0" applyFont="1" applyFill="1" applyBorder="1" applyAlignment="1">
      <alignment horizontal="center"/>
    </xf>
    <xf numFmtId="0" fontId="29" fillId="3" borderId="4" xfId="0" applyFont="1" applyFill="1" applyBorder="1" applyAlignment="1">
      <alignment horizontal="center"/>
    </xf>
    <xf numFmtId="0" fontId="29" fillId="3" borderId="12" xfId="0" applyFont="1" applyFill="1" applyBorder="1" applyAlignment="1">
      <alignment horizontal="center"/>
    </xf>
    <xf numFmtId="0" fontId="29" fillId="3" borderId="13" xfId="0" applyFont="1" applyFill="1" applyBorder="1" applyAlignment="1">
      <alignment horizontal="center"/>
    </xf>
    <xf numFmtId="0" fontId="29" fillId="3" borderId="1" xfId="0" applyFont="1" applyFill="1" applyBorder="1" applyAlignment="1">
      <alignment horizontal="center"/>
    </xf>
    <xf numFmtId="0" fontId="29" fillId="3" borderId="14"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1" fontId="13" fillId="3" borderId="9" xfId="0" applyNumberFormat="1" applyFont="1" applyFill="1" applyBorder="1" applyAlignment="1">
      <alignment horizontal="right" vertical="center"/>
    </xf>
    <xf numFmtId="0" fontId="18" fillId="5" borderId="0" xfId="0" applyFont="1" applyFill="1" applyAlignment="1">
      <alignment horizontal="center" vertical="center"/>
    </xf>
    <xf numFmtId="2" fontId="20" fillId="2" borderId="7" xfId="0" applyNumberFormat="1" applyFont="1" applyFill="1" applyBorder="1" applyAlignment="1">
      <alignment horizontal="center" vertical="center" textRotation="90"/>
    </xf>
    <xf numFmtId="2" fontId="20" fillId="2" borderId="2" xfId="0" applyNumberFormat="1" applyFont="1" applyFill="1" applyBorder="1" applyAlignment="1">
      <alignment horizontal="center" vertical="center" textRotation="90"/>
    </xf>
    <xf numFmtId="2" fontId="20" fillId="2" borderId="5" xfId="0" applyNumberFormat="1" applyFont="1" applyFill="1" applyBorder="1" applyAlignment="1">
      <alignment horizontal="center" vertical="center" textRotation="90"/>
    </xf>
    <xf numFmtId="0" fontId="25" fillId="6" borderId="15" xfId="0" applyFont="1" applyFill="1" applyBorder="1" applyAlignment="1" applyProtection="1">
      <alignment horizontal="center" vertical="center"/>
      <protection locked="0"/>
    </xf>
    <xf numFmtId="0" fontId="25" fillId="6" borderId="9" xfId="0" applyFont="1" applyFill="1" applyBorder="1" applyAlignment="1" applyProtection="1">
      <alignment horizontal="center" vertical="center"/>
      <protection locked="0"/>
    </xf>
    <xf numFmtId="0" fontId="25" fillId="6" borderId="16" xfId="0" applyFont="1" applyFill="1" applyBorder="1" applyAlignment="1" applyProtection="1">
      <alignment horizontal="center" vertical="center"/>
      <protection locked="0"/>
    </xf>
    <xf numFmtId="0" fontId="30" fillId="5" borderId="0" xfId="0" applyFont="1" applyFill="1" applyAlignment="1">
      <alignment horizontal="center" vertical="center"/>
    </xf>
    <xf numFmtId="0" fontId="23" fillId="6" borderId="2" xfId="0" applyFont="1" applyFill="1" applyBorder="1" applyAlignment="1" applyProtection="1">
      <alignment horizontal="center" vertical="center"/>
      <protection locked="0"/>
    </xf>
    <xf numFmtId="0" fontId="2" fillId="2" borderId="0" xfId="0" applyFont="1" applyFill="1" applyAlignment="1">
      <alignment horizontal="right"/>
    </xf>
    <xf numFmtId="0" fontId="2" fillId="2" borderId="0" xfId="0" applyFont="1" applyFill="1" applyAlignment="1">
      <alignment horizontal="right" vertical="center"/>
    </xf>
    <xf numFmtId="0" fontId="7" fillId="5" borderId="0" xfId="0" applyFont="1" applyFill="1" applyAlignment="1">
      <alignment horizontal="center" vertical="center"/>
    </xf>
    <xf numFmtId="9" fontId="23" fillId="6" borderId="2" xfId="1" applyFont="1" applyFill="1" applyBorder="1" applyAlignment="1" applyProtection="1">
      <alignment horizontal="center" vertical="center"/>
      <protection locked="0"/>
    </xf>
    <xf numFmtId="3" fontId="23" fillId="6" borderId="2" xfId="0" applyNumberFormat="1" applyFont="1" applyFill="1" applyBorder="1" applyAlignment="1" applyProtection="1">
      <alignment horizontal="center" vertical="center"/>
      <protection locked="0"/>
    </xf>
    <xf numFmtId="1" fontId="28" fillId="3" borderId="2" xfId="0" applyNumberFormat="1" applyFont="1" applyFill="1" applyBorder="1" applyAlignment="1">
      <alignment horizontal="center"/>
    </xf>
    <xf numFmtId="1" fontId="3" fillId="2" borderId="6" xfId="0" applyNumberFormat="1" applyFont="1" applyFill="1" applyBorder="1" applyAlignment="1">
      <alignment horizontal="center" vertical="center"/>
    </xf>
    <xf numFmtId="1" fontId="33" fillId="2" borderId="1" xfId="0" applyNumberFormat="1" applyFont="1" applyFill="1" applyBorder="1" applyAlignment="1">
      <alignment horizontal="center" vertical="center"/>
    </xf>
    <xf numFmtId="0" fontId="29" fillId="2" borderId="0" xfId="0" applyFont="1" applyFill="1" applyAlignment="1">
      <alignment horizontal="center"/>
    </xf>
    <xf numFmtId="0" fontId="0" fillId="0" borderId="0" xfId="0" applyAlignment="1">
      <alignment horizontal="center"/>
    </xf>
    <xf numFmtId="0" fontId="0" fillId="0" borderId="1" xfId="0"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CC00FF"/>
      <color rgb="FFA500CC"/>
      <color rgb="FFD215FF"/>
      <color rgb="FFE579FF"/>
      <color rgb="FF4E2D7F"/>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2</xdr:row>
      <xdr:rowOff>57150</xdr:rowOff>
    </xdr:from>
    <xdr:to>
      <xdr:col>3</xdr:col>
      <xdr:colOff>438150</xdr:colOff>
      <xdr:row>7</xdr:row>
      <xdr:rowOff>226288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57175" y="457200"/>
          <a:ext cx="2238375" cy="1312138"/>
        </a:xfrm>
        <a:prstGeom prst="rect">
          <a:avLst/>
        </a:prstGeom>
      </xdr:spPr>
    </xdr:pic>
    <xdr:clientData/>
  </xdr:twoCellAnchor>
  <xdr:twoCellAnchor>
    <xdr:from>
      <xdr:col>0</xdr:col>
      <xdr:colOff>304800</xdr:colOff>
      <xdr:row>11</xdr:row>
      <xdr:rowOff>66675</xdr:rowOff>
    </xdr:from>
    <xdr:to>
      <xdr:col>8</xdr:col>
      <xdr:colOff>1524000</xdr:colOff>
      <xdr:row>23</xdr:row>
      <xdr:rowOff>59532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4800" y="2709863"/>
          <a:ext cx="10696575" cy="24217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In an effort to to provide consistent information to swine producers, data has been summarized and this tool has been developed to provide recommendations for release of phosphorous in swine diets.</a:t>
          </a:r>
        </a:p>
        <a:p>
          <a:endParaRPr lang="en-US" sz="1600"/>
        </a:p>
        <a:p>
          <a:r>
            <a:rPr lang="en-US" sz="1600"/>
            <a:t>Data used in this</a:t>
          </a:r>
          <a:r>
            <a:rPr lang="en-US" sz="1600" baseline="0"/>
            <a:t> tool has been provided by phytase suppliers and all release values are based on bone mineralization measures including bone ash, dual energy x-ray absoptiometry (DEXA) scans, and/or bone phosphorous analysis when available in the data. </a:t>
          </a:r>
        </a:p>
        <a:p>
          <a:endParaRPr lang="en-US" sz="1600" baseline="0"/>
        </a:p>
        <a:p>
          <a:r>
            <a:rPr lang="en-US" sz="1600" baseline="0"/>
            <a:t>It is recognized that phytase provides growth benefits beyond bone mineralization. However, the goal of this tool is to provide release estimates for phytase sources based on estimates of bone mineralization.</a:t>
          </a:r>
          <a:endParaRPr lang="en-US" sz="1600"/>
        </a:p>
      </xdr:txBody>
    </xdr:sp>
    <xdr:clientData/>
  </xdr:twoCellAnchor>
  <xdr:twoCellAnchor>
    <xdr:from>
      <xdr:col>0</xdr:col>
      <xdr:colOff>304799</xdr:colOff>
      <xdr:row>27</xdr:row>
      <xdr:rowOff>38100</xdr:rowOff>
    </xdr:from>
    <xdr:to>
      <xdr:col>9</xdr:col>
      <xdr:colOff>47624</xdr:colOff>
      <xdr:row>65</xdr:row>
      <xdr:rowOff>28575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4799" y="5991225"/>
          <a:ext cx="10868025" cy="7591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Several tabs have</a:t>
          </a:r>
          <a:r>
            <a:rPr lang="en-US" sz="1600" baseline="0"/>
            <a:t> been developed within this spreadsheet to serve a number of specific purposes for swine producers: </a:t>
          </a:r>
        </a:p>
        <a:p>
          <a:endParaRPr lang="en-US" sz="1600" baseline="0"/>
        </a:p>
        <a:p>
          <a:r>
            <a:rPr lang="en-US" sz="1600" baseline="0"/>
            <a:t>1 - Inclusion table </a:t>
          </a:r>
        </a:p>
        <a:p>
          <a:pPr lvl="1"/>
          <a:r>
            <a:rPr lang="en-US" sz="1600" baseline="0"/>
            <a:t>If a specific level of phosphorous release is desired, this table indicates what level of phytase would be necessary to achieve the desired release of P.</a:t>
          </a:r>
        </a:p>
        <a:p>
          <a:pPr lvl="0"/>
          <a:endParaRPr lang="en-US" sz="1600" baseline="0"/>
        </a:p>
        <a:p>
          <a:pPr lvl="0"/>
          <a:r>
            <a:rPr lang="en-US" sz="1600" baseline="0"/>
            <a:t>2 - Release table </a:t>
          </a:r>
        </a:p>
        <a:p>
          <a:pPr lvl="1"/>
          <a:r>
            <a:rPr lang="en-US" sz="1600" baseline="0"/>
            <a:t>If a specific level of phytase is desired within the diet, this table indicates the expected release of both available and standardized total tract digestible phosphorous.</a:t>
          </a:r>
        </a:p>
        <a:p>
          <a:pPr lvl="0"/>
          <a:endParaRPr lang="en-US" sz="1600" baseline="0"/>
        </a:p>
        <a:p>
          <a:pPr lvl="0"/>
          <a:r>
            <a:rPr lang="en-US" sz="1600" baseline="0"/>
            <a:t>3 - Inclusion calculator</a:t>
          </a:r>
        </a:p>
        <a:p>
          <a:pPr lvl="1"/>
          <a:r>
            <a:rPr lang="en-US" sz="1600" baseline="0"/>
            <a:t>This tool allows producers to select their desired phytase source, product concentration, and desired phytase level in the diet and the output is the expected release of available and standardized total tract digestible phosphorous.</a:t>
          </a:r>
        </a:p>
        <a:p>
          <a:pPr lvl="0"/>
          <a:endParaRPr lang="en-US" sz="1600" baseline="0"/>
        </a:p>
        <a:p>
          <a:pPr lvl="0"/>
          <a:r>
            <a:rPr lang="en-US" sz="1600" baseline="0"/>
            <a:t>4 - Premix calculator</a:t>
          </a:r>
        </a:p>
        <a:p>
          <a:pPr lvl="1"/>
          <a:r>
            <a:rPr lang="en-US" sz="1600" baseline="0"/>
            <a:t>This tool allows producers to select their desired phytase source, guaranteed potency of product within a premix, and set inclusion rates of premix within multiple diets and the output is the expected release of available and standardized total tract digestible phosphorous.</a:t>
          </a:r>
        </a:p>
        <a:p>
          <a:pPr lvl="1"/>
          <a:endParaRPr lang="en-US" sz="1600" baseline="0"/>
        </a:p>
        <a:p>
          <a:pPr lvl="0"/>
          <a:r>
            <a:rPr lang="en-US" sz="1600" baseline="0"/>
            <a:t>An important concept this calculator incorporates is that 100% of the phytate P does not become digestible even when adequate phytase is available. Thus, the expected release of phosphorous is dependent upon the amount of phytate P within the diet. The exact proportion of phytate P that can be release and become available to the pig is not fully understood. To incorporate this concept with the best information currently available, we have entered a default of 70% to provide an estimate of the potential amount of the dietary phytate P that can be released if adequate phytase is available.</a:t>
          </a:r>
        </a:p>
        <a:p>
          <a:pPr lvl="0"/>
          <a:endParaRPr lang="en-US" sz="1600" baseline="0"/>
        </a:p>
        <a:p>
          <a:pPr lvl="0"/>
          <a:r>
            <a:rPr lang="en-US" sz="1600" baseline="0"/>
            <a:t>Data is provided based on NRC (2012) loading values for common ingredients for dietary phytate P levels in common ingredients, and dietary phytate P levels have been estimated based on common diet formulation strategies by phase to give an indication of phytate P levels in common diets.</a:t>
          </a:r>
        </a:p>
        <a:p>
          <a:pPr lvl="0"/>
          <a:endParaRPr lang="en-US" sz="1600" baseline="0"/>
        </a:p>
        <a:p>
          <a:pPr lvl="0"/>
          <a:r>
            <a:rPr lang="en-US" sz="1600" baseline="0"/>
            <a:t>The phytase level used within all calculations was based on assayed concentration of phytase source.</a:t>
          </a:r>
        </a:p>
        <a:p>
          <a:pPr lvl="1"/>
          <a:endParaRPr lang="en-US" sz="1600" baseline="0"/>
        </a:p>
      </xdr:txBody>
    </xdr:sp>
    <xdr:clientData/>
  </xdr:twoCellAnchor>
  <xdr:twoCellAnchor>
    <xdr:from>
      <xdr:col>0</xdr:col>
      <xdr:colOff>304800</xdr:colOff>
      <xdr:row>65</xdr:row>
      <xdr:rowOff>133350</xdr:rowOff>
    </xdr:from>
    <xdr:to>
      <xdr:col>9</xdr:col>
      <xdr:colOff>47625</xdr:colOff>
      <xdr:row>75</xdr:row>
      <xdr:rowOff>76199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04800" y="13687425"/>
          <a:ext cx="10868025" cy="19430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Please contact the</a:t>
          </a:r>
          <a:r>
            <a:rPr lang="en-US" sz="1600" baseline="0"/>
            <a:t> KSU Applied Swine Nutrition team with any questions regarding use of this tool.</a:t>
          </a:r>
        </a:p>
        <a:p>
          <a:endParaRPr lang="en-US" sz="1600" baseline="0"/>
        </a:p>
        <a:p>
          <a:pPr lvl="1"/>
          <a:endParaRPr lang="en-US" sz="1600" baseline="0"/>
        </a:p>
        <a:p>
          <a:pPr lvl="1"/>
          <a:endParaRPr lang="en-US" sz="1600" baseline="0"/>
        </a:p>
      </xdr:txBody>
    </xdr:sp>
    <xdr:clientData/>
  </xdr:twoCellAnchor>
  <xdr:twoCellAnchor editAs="oneCell">
    <xdr:from>
      <xdr:col>4</xdr:col>
      <xdr:colOff>200024</xdr:colOff>
      <xdr:row>67</xdr:row>
      <xdr:rowOff>180974</xdr:rowOff>
    </xdr:from>
    <xdr:to>
      <xdr:col>5</xdr:col>
      <xdr:colOff>809624</xdr:colOff>
      <xdr:row>74</xdr:row>
      <xdr:rowOff>118474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943224" y="14135099"/>
          <a:ext cx="2286000" cy="1337675"/>
        </a:xfrm>
        <a:prstGeom prst="rect">
          <a:avLst/>
        </a:prstGeom>
      </xdr:spPr>
    </xdr:pic>
    <xdr:clientData/>
  </xdr:twoCellAnchor>
  <xdr:twoCellAnchor editAs="oneCell">
    <xdr:from>
      <xdr:col>5</xdr:col>
      <xdr:colOff>1552576</xdr:colOff>
      <xdr:row>68</xdr:row>
      <xdr:rowOff>38100</xdr:rowOff>
    </xdr:from>
    <xdr:to>
      <xdr:col>7</xdr:col>
      <xdr:colOff>485776</xdr:colOff>
      <xdr:row>74</xdr:row>
      <xdr:rowOff>95703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5972176" y="14192250"/>
          <a:ext cx="2286000" cy="1257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179614</xdr:colOff>
      <xdr:row>1</xdr:row>
      <xdr:rowOff>3614</xdr:rowOff>
    </xdr:from>
    <xdr:to>
      <xdr:col>2</xdr:col>
      <xdr:colOff>581967</xdr:colOff>
      <xdr:row>5</xdr:row>
      <xdr:rowOff>78922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179614" y="203639"/>
          <a:ext cx="1707278" cy="10087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298739</xdr:colOff>
      <xdr:row>0</xdr:row>
      <xdr:rowOff>244505</xdr:rowOff>
    </xdr:from>
    <xdr:to>
      <xdr:col>3</xdr:col>
      <xdr:colOff>225248</xdr:colOff>
      <xdr:row>4</xdr:row>
      <xdr:rowOff>151411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613064" y="244505"/>
          <a:ext cx="1717209" cy="10213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152399</xdr:colOff>
      <xdr:row>1</xdr:row>
      <xdr:rowOff>9525</xdr:rowOff>
    </xdr:from>
    <xdr:to>
      <xdr:col>3</xdr:col>
      <xdr:colOff>581024</xdr:colOff>
      <xdr:row>6</xdr:row>
      <xdr:rowOff>121513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361949" y="209550"/>
          <a:ext cx="2238375" cy="13121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152399</xdr:colOff>
      <xdr:row>1</xdr:row>
      <xdr:rowOff>9525</xdr:rowOff>
    </xdr:from>
    <xdr:to>
      <xdr:col>3</xdr:col>
      <xdr:colOff>581024</xdr:colOff>
      <xdr:row>6</xdr:row>
      <xdr:rowOff>121513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57174" y="209550"/>
          <a:ext cx="2238375" cy="13121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152399</xdr:colOff>
      <xdr:row>1</xdr:row>
      <xdr:rowOff>9525</xdr:rowOff>
    </xdr:from>
    <xdr:to>
      <xdr:col>4</xdr:col>
      <xdr:colOff>581024</xdr:colOff>
      <xdr:row>6</xdr:row>
      <xdr:rowOff>121513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365759" y="207645"/>
          <a:ext cx="2242185" cy="13007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209550</xdr:colOff>
      <xdr:row>1</xdr:row>
      <xdr:rowOff>76200</xdr:rowOff>
    </xdr:from>
    <xdr:to>
      <xdr:col>3</xdr:col>
      <xdr:colOff>390525</xdr:colOff>
      <xdr:row>7</xdr:row>
      <xdr:rowOff>64363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09550" y="276225"/>
          <a:ext cx="2238375" cy="1312138"/>
        </a:xfrm>
        <a:prstGeom prst="rect">
          <a:avLst/>
        </a:prstGeom>
      </xdr:spPr>
    </xdr:pic>
    <xdr:clientData/>
  </xdr:twoCellAnchor>
  <xdr:twoCellAnchor>
    <xdr:from>
      <xdr:col>12</xdr:col>
      <xdr:colOff>95251</xdr:colOff>
      <xdr:row>18</xdr:row>
      <xdr:rowOff>19050</xdr:rowOff>
    </xdr:from>
    <xdr:to>
      <xdr:col>18</xdr:col>
      <xdr:colOff>152400</xdr:colOff>
      <xdr:row>32</xdr:row>
      <xdr:rowOff>160020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4375131" y="4057650"/>
          <a:ext cx="6800849" cy="32346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800" baseline="0"/>
            <a:t>Example diet formulation examples using NRC (2012) loading specifications for dietary phytate P levels. This information is provided as a reference to be used in these calculators if user does not have calculated phytate P levels for their formulations.</a:t>
          </a:r>
        </a:p>
        <a:p>
          <a:pPr lvl="0"/>
          <a:endParaRPr lang="en-US" sz="1800" baseline="0"/>
        </a:p>
        <a:p>
          <a:pPr lvl="0"/>
          <a:r>
            <a:rPr lang="en-US" sz="1800" baseline="0"/>
            <a:t>More information is needed to characterize the level of phytate P in swine diets. This information is provided as a baseline and can be updated as more information is generated.</a:t>
          </a:r>
        </a:p>
        <a:p>
          <a:pPr lvl="0"/>
          <a:endParaRPr lang="en-US" sz="1800" baseline="0"/>
        </a:p>
        <a:p>
          <a:pPr lvl="0"/>
          <a:r>
            <a:rPr lang="en-US" sz="1800" baseline="0"/>
            <a:t>Appreciation is expressed to Dr. Hans Stein and laboratory (University of Illinois) for assistance with providing analyzed phytate P data.</a:t>
          </a:r>
        </a:p>
        <a:p>
          <a:pPr lvl="1"/>
          <a:endParaRPr lang="en-US" sz="1800" baseline="0"/>
        </a:p>
        <a:p>
          <a:pPr lvl="1"/>
          <a:endParaRPr lang="en-US" sz="1800"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266700</xdr:colOff>
      <xdr:row>5</xdr:row>
      <xdr:rowOff>180975</xdr:rowOff>
    </xdr:from>
    <xdr:to>
      <xdr:col>11</xdr:col>
      <xdr:colOff>609300</xdr:colOff>
      <xdr:row>8</xdr:row>
      <xdr:rowOff>133281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362825" y="1276350"/>
          <a:ext cx="2400000" cy="552381"/>
        </a:xfrm>
        <a:prstGeom prst="rect">
          <a:avLst/>
        </a:prstGeom>
        <a:ln>
          <a:solidFill>
            <a:schemeClr val="tx1"/>
          </a:solidFill>
        </a:ln>
      </xdr:spPr>
    </xdr:pic>
    <xdr:clientData/>
  </xdr:twoCellAnchor>
  <xdr:twoCellAnchor>
    <xdr:from>
      <xdr:col>1</xdr:col>
      <xdr:colOff>666750</xdr:colOff>
      <xdr:row>13</xdr:row>
      <xdr:rowOff>180975</xdr:rowOff>
    </xdr:from>
    <xdr:to>
      <xdr:col>6</xdr:col>
      <xdr:colOff>981075</xdr:colOff>
      <xdr:row>15</xdr:row>
      <xdr:rowOff>76200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2619375" y="2876550"/>
          <a:ext cx="3743325"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All final</a:t>
          </a:r>
          <a:r>
            <a:rPr lang="en-US" sz="1400" baseline="0"/>
            <a:t> models were fit with a non-linear form.</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78"/>
  <sheetViews>
    <sheetView tabSelected="1" zoomScaleNormal="100" workbookViewId="0">
      <selection activeCell="G26" sqref="G26"/>
    </sheetView>
  </sheetViews>
  <sheetFormatPr baseColWidth="10" defaultColWidth="9" defaultRowHeight="15.6" x14ac:dyDescent="0.3"/>
  <cols>
    <col min="1" max="4" width="9" style="3"/>
    <col min="5" max="9" width="22" style="3" customWidth="1"/>
    <col min="10" max="10" width="26.3984375" style="3" customWidth="1"/>
    <col min="11" max="11" width="23.09765625" style="3" customWidth="1"/>
    <col min="12" max="16384" width="9" style="3"/>
  </cols>
  <sheetData>
    <row r="3" spans="2:9" ht="15.75" customHeight="1" x14ac:dyDescent="0.3">
      <c r="E3" s="92" t="s">
        <v>197</v>
      </c>
      <c r="F3" s="92"/>
      <c r="G3" s="92"/>
      <c r="H3" s="92"/>
      <c r="I3" s="92"/>
    </row>
    <row r="4" spans="2:9" ht="15.75" customHeight="1" x14ac:dyDescent="0.3">
      <c r="E4" s="92"/>
      <c r="F4" s="92"/>
      <c r="G4" s="92"/>
      <c r="H4" s="92"/>
      <c r="I4" s="92"/>
    </row>
    <row r="5" spans="2:9" ht="15.75" customHeight="1" x14ac:dyDescent="0.3">
      <c r="E5" s="92"/>
      <c r="F5" s="92"/>
      <c r="G5" s="92"/>
      <c r="H5" s="92"/>
      <c r="I5" s="92"/>
    </row>
    <row r="6" spans="2:9" ht="15.75" customHeight="1" x14ac:dyDescent="0.3">
      <c r="E6" s="93"/>
      <c r="F6" s="93"/>
      <c r="G6" s="93"/>
      <c r="H6" s="93"/>
      <c r="I6" s="93"/>
    </row>
    <row r="7" spans="2:9" ht="27" customHeight="1" x14ac:dyDescent="0.45">
      <c r="E7" s="94" t="s">
        <v>112</v>
      </c>
      <c r="F7" s="95"/>
      <c r="G7" s="95"/>
      <c r="H7" s="95"/>
      <c r="I7" s="96"/>
    </row>
    <row r="8" spans="2:9" ht="27" customHeight="1" x14ac:dyDescent="0.45">
      <c r="E8" s="97" t="s">
        <v>192</v>
      </c>
      <c r="F8" s="98"/>
      <c r="G8" s="98"/>
      <c r="H8" s="98"/>
      <c r="I8" s="99"/>
    </row>
    <row r="11" spans="2:9" ht="25.8" x14ac:dyDescent="0.5">
      <c r="B11" s="24" t="s">
        <v>113</v>
      </c>
    </row>
    <row r="27" spans="2:2" ht="25.8" x14ac:dyDescent="0.5">
      <c r="B27" s="24" t="s">
        <v>114</v>
      </c>
    </row>
    <row r="77" spans="2:3" x14ac:dyDescent="0.3">
      <c r="B77" s="3" t="s">
        <v>193</v>
      </c>
    </row>
    <row r="78" spans="2:3" x14ac:dyDescent="0.3">
      <c r="B78" s="3" t="s">
        <v>194</v>
      </c>
      <c r="C78" s="89"/>
    </row>
  </sheetData>
  <mergeCells count="3">
    <mergeCell ref="E3:I6"/>
    <mergeCell ref="E7:I7"/>
    <mergeCell ref="E8:I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8"/>
  <sheetViews>
    <sheetView zoomScaleNormal="100" workbookViewId="0">
      <selection activeCell="N14" sqref="N14"/>
    </sheetView>
  </sheetViews>
  <sheetFormatPr baseColWidth="10" defaultColWidth="10.8984375" defaultRowHeight="15.6" x14ac:dyDescent="0.3"/>
  <cols>
    <col min="1" max="1" width="2.3984375" style="3" customWidth="1"/>
    <col min="2" max="2" width="14.69921875" style="3" bestFit="1" customWidth="1"/>
    <col min="3" max="3" width="9.69921875" style="3" customWidth="1"/>
    <col min="4" max="4" width="12" style="3" customWidth="1"/>
    <col min="5" max="5" width="9.5" style="3" customWidth="1"/>
    <col min="6" max="6" width="9.3984375" style="3" bestFit="1" customWidth="1"/>
    <col min="7" max="7" width="11.09765625" style="3" bestFit="1" customWidth="1"/>
    <col min="8" max="8" width="11.19921875" style="3" bestFit="1" customWidth="1"/>
    <col min="9" max="9" width="10.69921875" style="3" customWidth="1"/>
    <col min="10" max="10" width="12.19921875" style="3" customWidth="1"/>
    <col min="11" max="11" width="11.8984375" style="3" customWidth="1"/>
    <col min="12" max="16" width="16.19921875" style="3" customWidth="1"/>
    <col min="17" max="16384" width="10.8984375" style="3"/>
  </cols>
  <sheetData>
    <row r="1" spans="2:11" s="1" customFormat="1" x14ac:dyDescent="0.3"/>
    <row r="2" spans="2:11" s="1" customFormat="1" ht="15.75" customHeight="1" x14ac:dyDescent="0.3">
      <c r="D2" s="103" t="s">
        <v>198</v>
      </c>
      <c r="E2" s="103"/>
      <c r="F2" s="103"/>
      <c r="G2" s="103"/>
      <c r="H2" s="103"/>
      <c r="I2" s="103"/>
      <c r="J2" s="103"/>
      <c r="K2" s="103"/>
    </row>
    <row r="3" spans="2:11" s="1" customFormat="1" ht="31.5" customHeight="1" x14ac:dyDescent="0.3">
      <c r="D3" s="103"/>
      <c r="E3" s="103"/>
      <c r="F3" s="103"/>
      <c r="G3" s="103"/>
      <c r="H3" s="103"/>
      <c r="I3" s="103"/>
      <c r="J3" s="103"/>
      <c r="K3" s="103"/>
    </row>
    <row r="4" spans="2:11" s="1" customFormat="1" ht="15.75" customHeight="1" x14ac:dyDescent="0.3">
      <c r="D4" s="103"/>
      <c r="E4" s="103"/>
      <c r="F4" s="103"/>
      <c r="G4" s="103"/>
      <c r="H4" s="103"/>
      <c r="I4" s="103"/>
      <c r="J4" s="103"/>
      <c r="K4" s="103"/>
    </row>
    <row r="5" spans="2:11" s="1" customFormat="1" ht="10.5" customHeight="1" x14ac:dyDescent="0.3"/>
    <row r="6" spans="2:11" ht="18" x14ac:dyDescent="0.3">
      <c r="D6" s="100" t="s">
        <v>116</v>
      </c>
      <c r="E6" s="100"/>
      <c r="F6" s="100"/>
      <c r="G6" s="100"/>
      <c r="H6" s="100"/>
      <c r="I6" s="100"/>
      <c r="J6" s="100"/>
      <c r="K6" s="5"/>
    </row>
    <row r="7" spans="2:11" s="2" customFormat="1" ht="17.399999999999999" x14ac:dyDescent="0.3">
      <c r="D7" s="101" t="s">
        <v>30</v>
      </c>
      <c r="E7" s="101"/>
      <c r="F7" s="101"/>
      <c r="G7" s="101"/>
      <c r="H7" s="101"/>
      <c r="I7" s="101"/>
      <c r="J7" s="101"/>
      <c r="K7" s="5"/>
    </row>
    <row r="8" spans="2:11" s="2" customFormat="1" ht="36" customHeight="1" x14ac:dyDescent="0.3">
      <c r="B8" s="27" t="s">
        <v>195</v>
      </c>
      <c r="C8" s="27" t="s">
        <v>126</v>
      </c>
      <c r="D8" s="90" t="s">
        <v>186</v>
      </c>
      <c r="E8" s="57" t="s">
        <v>13</v>
      </c>
      <c r="F8" s="90" t="s">
        <v>12</v>
      </c>
      <c r="G8" s="90" t="s">
        <v>6</v>
      </c>
      <c r="H8" s="90" t="s">
        <v>5</v>
      </c>
      <c r="I8" s="91" t="s">
        <v>11</v>
      </c>
      <c r="J8" s="91" t="s">
        <v>4</v>
      </c>
      <c r="K8" s="91" t="s">
        <v>190</v>
      </c>
    </row>
    <row r="9" spans="2:11" s="2" customFormat="1" ht="27" x14ac:dyDescent="0.3">
      <c r="B9" s="28" t="s">
        <v>115</v>
      </c>
      <c r="C9" s="28" t="s">
        <v>38</v>
      </c>
      <c r="D9" s="42" t="s">
        <v>187</v>
      </c>
      <c r="E9" s="43" t="s">
        <v>133</v>
      </c>
      <c r="F9" s="42" t="s">
        <v>134</v>
      </c>
      <c r="G9" s="42" t="s">
        <v>135</v>
      </c>
      <c r="H9" s="42" t="s">
        <v>136</v>
      </c>
      <c r="I9" s="42" t="s">
        <v>137</v>
      </c>
      <c r="J9" s="42" t="s">
        <v>196</v>
      </c>
      <c r="K9" s="42" t="s">
        <v>191</v>
      </c>
    </row>
    <row r="10" spans="2:11" s="2" customFormat="1" ht="24" customHeight="1" x14ac:dyDescent="0.3">
      <c r="B10" s="29">
        <v>0.06</v>
      </c>
      <c r="C10" s="29">
        <v>6.8181818181818177E-2</v>
      </c>
      <c r="D10" s="30">
        <v>130</v>
      </c>
      <c r="E10" s="30">
        <v>500</v>
      </c>
      <c r="F10" s="30">
        <v>190</v>
      </c>
      <c r="G10" s="30">
        <v>180</v>
      </c>
      <c r="H10" s="30">
        <v>140</v>
      </c>
      <c r="I10" s="30">
        <v>200</v>
      </c>
      <c r="J10" s="30">
        <v>190</v>
      </c>
      <c r="K10" s="30">
        <v>550</v>
      </c>
    </row>
    <row r="11" spans="2:11" s="2" customFormat="1" ht="23.4" customHeight="1" x14ac:dyDescent="0.3">
      <c r="B11" s="31">
        <v>7.0000000000000007E-2</v>
      </c>
      <c r="C11" s="31">
        <v>7.9545454545454558E-2</v>
      </c>
      <c r="D11" s="32">
        <v>160</v>
      </c>
      <c r="E11" s="32">
        <v>620</v>
      </c>
      <c r="F11" s="32">
        <v>230</v>
      </c>
      <c r="G11" s="32">
        <v>220</v>
      </c>
      <c r="H11" s="32">
        <v>170</v>
      </c>
      <c r="I11" s="32">
        <v>260</v>
      </c>
      <c r="J11" s="32">
        <v>250</v>
      </c>
      <c r="K11" s="32">
        <v>670</v>
      </c>
    </row>
    <row r="12" spans="2:11" s="2" customFormat="1" ht="24" customHeight="1" x14ac:dyDescent="0.3">
      <c r="B12" s="29">
        <v>0.08</v>
      </c>
      <c r="C12" s="29">
        <v>9.0909090909090912E-2</v>
      </c>
      <c r="D12" s="30">
        <v>190</v>
      </c>
      <c r="E12" s="30">
        <v>750</v>
      </c>
      <c r="F12" s="30">
        <v>270</v>
      </c>
      <c r="G12" s="30">
        <v>270</v>
      </c>
      <c r="H12" s="30">
        <v>210</v>
      </c>
      <c r="I12" s="30">
        <v>320</v>
      </c>
      <c r="J12" s="30">
        <v>330</v>
      </c>
      <c r="K12" s="30">
        <v>790</v>
      </c>
    </row>
    <row r="13" spans="2:11" s="2" customFormat="1" ht="24" customHeight="1" x14ac:dyDescent="0.3">
      <c r="B13" s="31">
        <v>0.09</v>
      </c>
      <c r="C13" s="31">
        <v>0.10227272727272727</v>
      </c>
      <c r="D13" s="32">
        <v>220</v>
      </c>
      <c r="E13" s="32">
        <v>900</v>
      </c>
      <c r="F13" s="32">
        <v>320</v>
      </c>
      <c r="G13" s="32">
        <v>330</v>
      </c>
      <c r="H13" s="32">
        <v>250</v>
      </c>
      <c r="I13" s="32">
        <v>400</v>
      </c>
      <c r="J13" s="32">
        <v>430</v>
      </c>
      <c r="K13" s="32">
        <v>930</v>
      </c>
    </row>
    <row r="14" spans="2:11" s="2" customFormat="1" ht="24" customHeight="1" x14ac:dyDescent="0.3">
      <c r="B14" s="29">
        <v>0.1</v>
      </c>
      <c r="C14" s="29">
        <v>0.11363636363636365</v>
      </c>
      <c r="D14" s="30">
        <v>260</v>
      </c>
      <c r="E14" s="30">
        <v>1070</v>
      </c>
      <c r="F14" s="30">
        <v>370</v>
      </c>
      <c r="G14" s="30">
        <v>400</v>
      </c>
      <c r="H14" s="30">
        <v>290</v>
      </c>
      <c r="I14" s="30">
        <v>490</v>
      </c>
      <c r="J14" s="30">
        <v>590</v>
      </c>
      <c r="K14" s="30">
        <v>1080</v>
      </c>
    </row>
    <row r="15" spans="2:11" s="2" customFormat="1" ht="24" customHeight="1" x14ac:dyDescent="0.3">
      <c r="B15" s="31">
        <v>0.11</v>
      </c>
      <c r="C15" s="31">
        <v>0.125</v>
      </c>
      <c r="D15" s="32">
        <v>300</v>
      </c>
      <c r="E15" s="32">
        <v>1260</v>
      </c>
      <c r="F15" s="32">
        <v>430</v>
      </c>
      <c r="G15" s="32">
        <v>480</v>
      </c>
      <c r="H15" s="32">
        <v>350</v>
      </c>
      <c r="I15" s="32">
        <v>620</v>
      </c>
      <c r="J15" s="32">
        <v>830</v>
      </c>
      <c r="K15" s="32">
        <v>1240</v>
      </c>
    </row>
    <row r="16" spans="2:11" s="2" customFormat="1" ht="24" customHeight="1" x14ac:dyDescent="0.3">
      <c r="B16" s="29">
        <v>0.12</v>
      </c>
      <c r="C16" s="29">
        <v>0.13636363636363635</v>
      </c>
      <c r="D16" s="30">
        <v>340</v>
      </c>
      <c r="E16" s="30">
        <v>1490</v>
      </c>
      <c r="F16" s="30">
        <v>500</v>
      </c>
      <c r="G16" s="30">
        <v>590</v>
      </c>
      <c r="H16" s="30">
        <v>410</v>
      </c>
      <c r="I16" s="30">
        <v>770</v>
      </c>
      <c r="J16" s="30">
        <v>1280</v>
      </c>
      <c r="K16" s="30">
        <v>1430</v>
      </c>
    </row>
    <row r="17" spans="2:11" s="2" customFormat="1" ht="24" customHeight="1" x14ac:dyDescent="0.3">
      <c r="B17" s="31">
        <v>0.13</v>
      </c>
      <c r="C17" s="31">
        <v>0.14772727272727273</v>
      </c>
      <c r="D17" s="32">
        <v>390</v>
      </c>
      <c r="E17" s="32">
        <v>1770</v>
      </c>
      <c r="F17" s="32">
        <v>580</v>
      </c>
      <c r="G17" s="32">
        <v>710</v>
      </c>
      <c r="H17" s="32">
        <v>480</v>
      </c>
      <c r="I17" s="32">
        <v>990</v>
      </c>
      <c r="J17" s="32">
        <v>2350</v>
      </c>
      <c r="K17" s="32">
        <v>1630</v>
      </c>
    </row>
    <row r="18" spans="2:11" s="2" customFormat="1" ht="24" customHeight="1" x14ac:dyDescent="0.3">
      <c r="B18" s="29">
        <v>0.14000000000000001</v>
      </c>
      <c r="C18" s="29">
        <v>0.15909090909090912</v>
      </c>
      <c r="D18" s="30">
        <v>450</v>
      </c>
      <c r="E18" s="30">
        <v>2100</v>
      </c>
      <c r="F18" s="30">
        <v>660</v>
      </c>
      <c r="G18" s="30">
        <v>880</v>
      </c>
      <c r="H18" s="30">
        <v>580</v>
      </c>
      <c r="I18" s="30">
        <v>1310</v>
      </c>
      <c r="J18" s="33" t="s">
        <v>117</v>
      </c>
      <c r="K18" s="30">
        <v>1850</v>
      </c>
    </row>
    <row r="19" spans="2:11" s="2" customFormat="1" ht="24" customHeight="1" x14ac:dyDescent="0.3">
      <c r="B19" s="31">
        <v>0.15</v>
      </c>
      <c r="C19" s="31">
        <v>0.17045454545454544</v>
      </c>
      <c r="D19" s="32">
        <v>510</v>
      </c>
      <c r="E19" s="32">
        <v>2500</v>
      </c>
      <c r="F19" s="32">
        <v>770</v>
      </c>
      <c r="G19" s="32">
        <v>1100</v>
      </c>
      <c r="H19" s="32">
        <v>690</v>
      </c>
      <c r="I19" s="32">
        <v>1820</v>
      </c>
      <c r="J19" s="34" t="s">
        <v>117</v>
      </c>
      <c r="K19" s="32">
        <v>2000</v>
      </c>
    </row>
    <row r="20" spans="2:11" s="2" customFormat="1" ht="24" customHeight="1" x14ac:dyDescent="0.3">
      <c r="B20" s="35">
        <v>0.16</v>
      </c>
      <c r="C20" s="35">
        <v>0.18181818181818182</v>
      </c>
      <c r="D20" s="36">
        <v>590</v>
      </c>
      <c r="E20" s="36">
        <v>3000</v>
      </c>
      <c r="F20" s="36">
        <v>880</v>
      </c>
      <c r="G20" s="36">
        <v>1410</v>
      </c>
      <c r="H20" s="36">
        <v>830</v>
      </c>
      <c r="I20" s="36">
        <v>2000</v>
      </c>
      <c r="J20" s="37" t="s">
        <v>117</v>
      </c>
      <c r="K20" s="37" t="s">
        <v>117</v>
      </c>
    </row>
    <row r="21" spans="2:11" s="2" customFormat="1" ht="24" customHeight="1" x14ac:dyDescent="0.3">
      <c r="B21" s="102" t="s">
        <v>118</v>
      </c>
      <c r="C21" s="102"/>
      <c r="D21" s="38">
        <v>2000</v>
      </c>
      <c r="E21" s="38">
        <v>4000</v>
      </c>
      <c r="F21" s="38">
        <v>1000</v>
      </c>
      <c r="G21" s="38">
        <v>1500</v>
      </c>
      <c r="H21" s="38">
        <v>2000</v>
      </c>
      <c r="I21" s="38">
        <v>2000</v>
      </c>
      <c r="J21" s="38">
        <v>2500</v>
      </c>
      <c r="K21" s="38">
        <v>2000</v>
      </c>
    </row>
    <row r="22" spans="2:11" s="2" customFormat="1" ht="15.75" customHeight="1" x14ac:dyDescent="0.3">
      <c r="B22" s="39">
        <v>1</v>
      </c>
      <c r="C22" s="40" t="s">
        <v>32</v>
      </c>
      <c r="D22" s="41"/>
      <c r="E22" s="41"/>
      <c r="F22" s="41"/>
      <c r="G22" s="41"/>
      <c r="H22" s="41"/>
      <c r="I22" s="41"/>
      <c r="J22" s="41"/>
      <c r="K22" s="41"/>
    </row>
    <row r="23" spans="2:11" s="2" customFormat="1" ht="15.75" customHeight="1" x14ac:dyDescent="0.3">
      <c r="B23" s="39">
        <v>2</v>
      </c>
      <c r="C23" s="41" t="s">
        <v>33</v>
      </c>
      <c r="D23" s="41"/>
      <c r="E23" s="41"/>
      <c r="F23" s="41"/>
      <c r="G23" s="41"/>
      <c r="H23" s="41"/>
      <c r="I23" s="41"/>
      <c r="J23" s="41"/>
      <c r="K23" s="41"/>
    </row>
    <row r="24" spans="2:11" s="2" customFormat="1" ht="15.75" customHeight="1" x14ac:dyDescent="0.3">
      <c r="B24" s="39">
        <v>3</v>
      </c>
      <c r="C24" s="41" t="s">
        <v>35</v>
      </c>
      <c r="D24" s="25"/>
      <c r="E24" s="25"/>
      <c r="F24" s="25"/>
      <c r="G24" s="25"/>
      <c r="H24" s="25"/>
      <c r="I24" s="25"/>
      <c r="J24" s="25"/>
      <c r="K24" s="25"/>
    </row>
    <row r="25" spans="2:11" s="2" customFormat="1" ht="17.399999999999999" x14ac:dyDescent="0.3">
      <c r="B25" s="25"/>
      <c r="C25" s="25"/>
      <c r="D25" s="25"/>
      <c r="E25" s="25"/>
      <c r="F25" s="25"/>
      <c r="G25" s="25"/>
      <c r="H25" s="25"/>
      <c r="I25" s="25"/>
      <c r="J25" s="25"/>
      <c r="K25" s="25"/>
    </row>
    <row r="26" spans="2:11" s="2" customFormat="1" ht="17.399999999999999" x14ac:dyDescent="0.3"/>
    <row r="27" spans="2:11" s="2" customFormat="1" ht="17.399999999999999" x14ac:dyDescent="0.3"/>
    <row r="28" spans="2:11" s="2" customFormat="1" ht="17.399999999999999" x14ac:dyDescent="0.3"/>
    <row r="29" spans="2:11" s="2" customFormat="1" ht="17.399999999999999" x14ac:dyDescent="0.3"/>
    <row r="30" spans="2:11" s="2" customFormat="1" ht="17.399999999999999" x14ac:dyDescent="0.3"/>
    <row r="31" spans="2:11" s="2" customFormat="1" ht="17.399999999999999" x14ac:dyDescent="0.3"/>
    <row r="32" spans="2:11" s="2" customFormat="1" ht="17.399999999999999" x14ac:dyDescent="0.3"/>
    <row r="33" spans="2:16" s="2" customFormat="1" ht="17.399999999999999" x14ac:dyDescent="0.3">
      <c r="B33" s="3"/>
      <c r="C33" s="3"/>
      <c r="D33" s="3"/>
      <c r="E33" s="3"/>
      <c r="F33" s="3"/>
      <c r="G33" s="3"/>
      <c r="H33" s="3"/>
      <c r="I33" s="3"/>
      <c r="J33" s="3"/>
      <c r="K33" s="3"/>
      <c r="L33" s="3"/>
      <c r="M33" s="3"/>
      <c r="N33" s="3"/>
      <c r="O33" s="3"/>
      <c r="P33" s="3"/>
    </row>
    <row r="34" spans="2:16" s="2" customFormat="1" ht="17.399999999999999" x14ac:dyDescent="0.3">
      <c r="B34" s="3"/>
      <c r="C34" s="3"/>
      <c r="D34" s="3"/>
      <c r="E34" s="3"/>
      <c r="F34" s="3"/>
      <c r="G34" s="3"/>
      <c r="H34" s="3"/>
      <c r="I34" s="3"/>
      <c r="J34" s="3"/>
      <c r="K34" s="3"/>
      <c r="L34" s="3"/>
      <c r="M34" s="3"/>
      <c r="N34" s="3"/>
      <c r="O34" s="3"/>
      <c r="P34" s="3"/>
    </row>
    <row r="35" spans="2:16" s="2" customFormat="1" ht="17.399999999999999" x14ac:dyDescent="0.3">
      <c r="B35" s="3"/>
      <c r="C35" s="3"/>
      <c r="D35" s="3"/>
      <c r="E35" s="3"/>
      <c r="F35" s="3"/>
      <c r="G35" s="3"/>
      <c r="H35" s="3"/>
      <c r="I35" s="3"/>
      <c r="J35" s="3"/>
      <c r="K35" s="3"/>
      <c r="L35" s="3"/>
      <c r="M35" s="3"/>
      <c r="N35" s="3"/>
      <c r="O35" s="3"/>
      <c r="P35" s="3"/>
    </row>
    <row r="36" spans="2:16" s="2" customFormat="1" ht="17.399999999999999" x14ac:dyDescent="0.3">
      <c r="B36" s="3"/>
      <c r="C36" s="3"/>
      <c r="D36" s="3"/>
      <c r="E36" s="3"/>
      <c r="F36" s="3"/>
      <c r="G36" s="3"/>
      <c r="H36" s="3"/>
      <c r="I36" s="3"/>
      <c r="J36" s="3"/>
      <c r="K36" s="3"/>
      <c r="L36" s="3"/>
      <c r="M36" s="3"/>
      <c r="N36" s="3"/>
      <c r="O36" s="3"/>
      <c r="P36" s="3"/>
    </row>
    <row r="37" spans="2:16" s="2" customFormat="1" ht="17.399999999999999" x14ac:dyDescent="0.3">
      <c r="B37" s="3"/>
      <c r="C37" s="3"/>
      <c r="D37" s="3"/>
      <c r="E37" s="3"/>
      <c r="F37" s="3"/>
      <c r="G37" s="3"/>
      <c r="H37" s="3"/>
      <c r="I37" s="3"/>
      <c r="J37" s="3"/>
      <c r="K37" s="3"/>
      <c r="L37" s="3"/>
      <c r="M37" s="3"/>
      <c r="N37" s="3"/>
      <c r="O37" s="3"/>
      <c r="P37" s="3"/>
    </row>
    <row r="38" spans="2:16" s="2" customFormat="1" ht="17.399999999999999" x14ac:dyDescent="0.3">
      <c r="B38" s="3"/>
      <c r="C38" s="3"/>
      <c r="D38" s="3"/>
      <c r="E38" s="3"/>
      <c r="F38" s="3"/>
      <c r="G38" s="3"/>
      <c r="H38" s="3"/>
      <c r="I38" s="3"/>
      <c r="J38" s="3"/>
      <c r="K38" s="3"/>
      <c r="L38" s="3"/>
      <c r="M38" s="3"/>
      <c r="N38" s="3"/>
      <c r="O38" s="3"/>
      <c r="P38" s="3"/>
    </row>
  </sheetData>
  <sheetProtection sheet="1" objects="1" scenarios="1"/>
  <mergeCells count="4">
    <mergeCell ref="D6:J6"/>
    <mergeCell ref="D7:J7"/>
    <mergeCell ref="B21:C21"/>
    <mergeCell ref="D2:K4"/>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9"/>
  <sheetViews>
    <sheetView zoomScaleNormal="100" workbookViewId="0"/>
  </sheetViews>
  <sheetFormatPr baseColWidth="10" defaultColWidth="10.8984375" defaultRowHeight="15.6" x14ac:dyDescent="0.3"/>
  <cols>
    <col min="1" max="1" width="4.09765625" style="3" customWidth="1"/>
    <col min="2" max="2" width="5.3984375" style="3" customWidth="1"/>
    <col min="3" max="3" width="18.09765625" style="3" customWidth="1"/>
    <col min="4" max="4" width="9.59765625" style="3" bestFit="1" customWidth="1"/>
    <col min="5" max="5" width="9.59765625" style="3" customWidth="1"/>
    <col min="6" max="6" width="10.59765625" style="3" customWidth="1"/>
    <col min="7" max="7" width="12.09765625" style="3" customWidth="1"/>
    <col min="8" max="8" width="11" style="3" customWidth="1"/>
    <col min="9" max="9" width="11.09765625" style="3" customWidth="1"/>
    <col min="10" max="10" width="12.69921875" style="3" customWidth="1"/>
    <col min="11" max="11" width="11.69921875" style="3" customWidth="1"/>
    <col min="12" max="16384" width="10.8984375" style="3"/>
  </cols>
  <sheetData>
    <row r="1" spans="2:11" s="1" customFormat="1" ht="24.75" customHeight="1" x14ac:dyDescent="0.3"/>
    <row r="2" spans="2:11" s="1" customFormat="1" ht="15.75" customHeight="1" x14ac:dyDescent="0.3">
      <c r="D2" s="5"/>
      <c r="E2" s="103" t="s">
        <v>199</v>
      </c>
      <c r="F2" s="103"/>
      <c r="G2" s="103"/>
      <c r="H2" s="103"/>
      <c r="I2" s="103"/>
      <c r="J2" s="103"/>
      <c r="K2" s="103"/>
    </row>
    <row r="3" spans="2:11" s="1" customFormat="1" ht="31.5" customHeight="1" x14ac:dyDescent="0.3">
      <c r="D3" s="5"/>
      <c r="E3" s="103"/>
      <c r="F3" s="103"/>
      <c r="G3" s="103"/>
      <c r="H3" s="103"/>
      <c r="I3" s="103"/>
      <c r="J3" s="103"/>
      <c r="K3" s="103"/>
    </row>
    <row r="4" spans="2:11" s="1" customFormat="1" ht="15.75" customHeight="1" x14ac:dyDescent="0.3">
      <c r="D4" s="5"/>
      <c r="E4" s="103"/>
      <c r="F4" s="103"/>
      <c r="G4" s="103"/>
      <c r="H4" s="103"/>
      <c r="I4" s="103"/>
      <c r="J4" s="103"/>
      <c r="K4" s="103"/>
    </row>
    <row r="5" spans="2:11" s="1" customFormat="1" ht="16.5" customHeight="1" x14ac:dyDescent="0.3"/>
    <row r="6" spans="2:11" s="2" customFormat="1" ht="17.399999999999999" x14ac:dyDescent="0.3">
      <c r="C6" s="25"/>
      <c r="D6" s="25"/>
      <c r="E6" s="25"/>
      <c r="F6" s="107" t="s">
        <v>25</v>
      </c>
      <c r="G6" s="108"/>
      <c r="H6" s="109"/>
      <c r="I6" s="25"/>
      <c r="J6" s="25"/>
      <c r="K6" s="25"/>
    </row>
    <row r="7" spans="2:11" s="2" customFormat="1" ht="17.399999999999999" x14ac:dyDescent="0.3">
      <c r="C7" s="56" t="s">
        <v>20</v>
      </c>
      <c r="D7" s="53">
        <v>0.28000000000000003</v>
      </c>
      <c r="E7" s="41" t="s">
        <v>109</v>
      </c>
      <c r="F7" s="41"/>
      <c r="G7" s="57"/>
      <c r="H7" s="41"/>
      <c r="I7" s="5"/>
      <c r="J7" s="5"/>
      <c r="K7" s="5"/>
    </row>
    <row r="8" spans="2:11" s="2" customFormat="1" ht="17.399999999999999" x14ac:dyDescent="0.3">
      <c r="C8" s="56" t="s">
        <v>120</v>
      </c>
      <c r="D8" s="54">
        <v>0.7</v>
      </c>
      <c r="E8" s="41"/>
      <c r="F8" s="57"/>
      <c r="G8" s="57"/>
      <c r="H8" s="41"/>
      <c r="I8" s="25"/>
      <c r="J8" s="25"/>
      <c r="K8" s="25"/>
    </row>
    <row r="9" spans="2:11" s="2" customFormat="1" ht="6.75" customHeight="1" x14ac:dyDescent="0.3">
      <c r="C9" s="52"/>
      <c r="D9" s="52"/>
      <c r="E9" s="25"/>
      <c r="F9" s="5"/>
      <c r="G9" s="5"/>
      <c r="H9" s="5"/>
      <c r="I9" s="5"/>
      <c r="J9" s="5"/>
      <c r="K9" s="5"/>
    </row>
    <row r="10" spans="2:11" s="2" customFormat="1" ht="18" x14ac:dyDescent="0.3">
      <c r="D10" s="101" t="s">
        <v>119</v>
      </c>
      <c r="E10" s="101"/>
      <c r="F10" s="101"/>
      <c r="G10" s="101"/>
      <c r="H10" s="101"/>
      <c r="I10" s="101"/>
      <c r="J10" s="101"/>
      <c r="K10" s="101"/>
    </row>
    <row r="11" spans="2:11" s="2" customFormat="1" ht="27" x14ac:dyDescent="0.3">
      <c r="C11" s="26" t="s">
        <v>26</v>
      </c>
      <c r="D11" s="90" t="s">
        <v>186</v>
      </c>
      <c r="E11" s="57" t="s">
        <v>13</v>
      </c>
      <c r="F11" s="90" t="s">
        <v>12</v>
      </c>
      <c r="G11" s="90" t="s">
        <v>6</v>
      </c>
      <c r="H11" s="90" t="s">
        <v>5</v>
      </c>
      <c r="I11" s="90" t="s">
        <v>11</v>
      </c>
      <c r="J11" s="90" t="s">
        <v>4</v>
      </c>
      <c r="K11" s="79" t="s">
        <v>190</v>
      </c>
    </row>
    <row r="12" spans="2:11" s="2" customFormat="1" ht="29.25" customHeight="1" x14ac:dyDescent="0.3">
      <c r="C12" s="55" t="s">
        <v>24</v>
      </c>
      <c r="D12" s="42" t="s">
        <v>187</v>
      </c>
      <c r="E12" s="43" t="s">
        <v>133</v>
      </c>
      <c r="F12" s="42" t="s">
        <v>134</v>
      </c>
      <c r="G12" s="42" t="s">
        <v>135</v>
      </c>
      <c r="H12" s="42" t="s">
        <v>136</v>
      </c>
      <c r="I12" s="42" t="s">
        <v>137</v>
      </c>
      <c r="J12" s="42" t="s">
        <v>196</v>
      </c>
      <c r="K12" s="78" t="s">
        <v>191</v>
      </c>
    </row>
    <row r="13" spans="2:11" s="2" customFormat="1" ht="17.399999999999999" customHeight="1" x14ac:dyDescent="0.3">
      <c r="B13" s="105" t="s">
        <v>10</v>
      </c>
      <c r="C13" s="44">
        <v>250</v>
      </c>
      <c r="D13" s="45">
        <f>IF(IF(C13&lt;='2022 Regression Curves'!$F$5,('2022 Regression Curves'!$D$5*C13)/('2022 Regression Curves'!$E$5+C13),('2022 Regression Curves'!$D$5*'2022 Regression Curves'!$F$5)/('2022 Regression Curves'!$E$5+'2022 Regression Curves'!$F$5))&lt;=($D$7*$D$8),IF(C13&lt;='2022 Regression Curves'!$F$5,('2022 Regression Curves'!$D$5*C13)/('2022 Regression Curves'!$E$5+C13),('2022 Regression Curves'!$D$5*'2022 Regression Curves'!$F$5)/('2022 Regression Curves'!$E$5+'2022 Regression Curves'!$F$5)),($D$7*$D$8))</f>
        <v>9.9466991794478946E-2</v>
      </c>
      <c r="E13" s="45">
        <f>IF(IF(C13&lt;='2022 Regression Curves'!$F$6,('2022 Regression Curves'!$D$6*C13)/('2022 Regression Curves'!$E$6+C13),('2022 Regression Curves'!$D$6*'2022 Regression Curves'!$F$6)/('2022 Regression Curves'!$E$6+'2022 Regression Curves'!$F$6))&lt;=($D$7*$D$8),IF(C13&lt;='2022 Regression Curves'!$F$6,('2022 Regression Curves'!$D$6*C13)/('2022 Regression Curves'!$E$6+C13),('2022 Regression Curves'!$D$6*'2022 Regression Curves'!$F$6)/('2022 Regression Curves'!$E$6+'2022 Regression Curves'!$F$6)),($D$7*$D$8))</f>
        <v>3.4571195163983673E-2</v>
      </c>
      <c r="F13" s="45">
        <f>IF(IF(C13&lt;='2022 Regression Curves'!$F$7,('2022 Regression Curves'!$D$7*C13)/('2022 Regression Curves'!$E$7+C13),('2022 Regression Curves'!$D$7*'2022 Regression Curves'!$F$7)/('2022 Regression Curves'!$E$7+'2022 Regression Curves'!$F$7))&lt;=($D$7*$D$8),IF(C13&lt;='2022 Regression Curves'!$F$7,('2022 Regression Curves'!$D$7*C13)/('2022 Regression Curves'!$E$7+C13),('2022 Regression Curves'!$D$7*'2022 Regression Curves'!$F$7)/('2022 Regression Curves'!$E$7+'2022 Regression Curves'!$F$7)),($D$7*$D$8))</f>
        <v>7.6914486419255662E-2</v>
      </c>
      <c r="G13" s="45">
        <f>IF(IF(C13&lt;='2022 Regression Curves'!$F$8,('2022 Regression Curves'!$D$8*C13)/('2022 Regression Curves'!$E$8+C13),('2022 Regression Curves'!$D$8*'2022 Regression Curves'!$F$8)/('2022 Regression Curves'!$E$8+'2022 Regression Curves'!$F$8))&lt;=($D$7*$D$8),IF(C13&lt;='2022 Regression Curves'!$F$8,('2022 Regression Curves'!$D$8*C13)/('2022 Regression Curves'!$E$8+C13),('2022 Regression Curves'!$D$8*'2022 Regression Curves'!$F$8)/('2022 Regression Curves'!$E$8+'2022 Regression Curves'!$F$8)),($D$7*$D$8))</f>
        <v>7.6739401845877769E-2</v>
      </c>
      <c r="H13" s="45">
        <f>IF(IF(C13&lt;='2022 Regression Curves'!$F$9,('2022 Regression Curves'!$D$9*C13)/('2022 Regression Curves'!$E$9+C13),('2022 Regression Curves'!$D$9*'2022 Regression Curves'!$F$9)/('2022 Regression Curves'!$E$9+'2022 Regression Curves'!$F$9))&lt;=($D$7*$D$8),IF(C13&lt;='2022 Regression Curves'!$F$9,('2022 Regression Curves'!$D$9*C13)/('2022 Regression Curves'!$E$9+C13),('2022 Regression Curves'!$D$9*'2022 Regression Curves'!$F$9)/('2022 Regression Curves'!$E$9+'2022 Regression Curves'!$F$9)),($D$7*$D$8))</f>
        <v>9.2152222977141568E-2</v>
      </c>
      <c r="I13" s="45">
        <f>IF(IF(C13&lt;='2022 Regression Curves'!$F$10,('2022 Regression Curves'!$D$10*C13)/('2022 Regression Curves'!$E$10+C13),('2022 Regression Curves'!$D$10*'2022 Regression Curves'!$F$10)/('2022 Regression Curves'!$E$10+'2022 Regression Curves'!$F$10))&lt;=($D$7*$D$8),IF(C13&lt;='2022 Regression Curves'!$F$10,('2022 Regression Curves'!$D$10*C13)/('2022 Regression Curves'!$E$10+C13),('2022 Regression Curves'!$D$10*'2022 Regression Curves'!$F$10)/('2022 Regression Curves'!$E$10+'2022 Regression Curves'!$F$10)),($D$7*$D$8))</f>
        <v>6.9694646542084973E-2</v>
      </c>
      <c r="J13" s="45">
        <f>IF(IF(C13&lt;='2022 Regression Curves'!$F$11,('2022 Regression Curves'!$D$11*C13)/('2022 Regression Curves'!$E$11+C13),('2022 Regression Curves'!$D$11*'2022 Regression Curves'!$F$11)/('2022 Regression Curves'!$E$11+'2022 Regression Curves'!$F$11))&lt;=($D$7*$D$8),IF(C13&lt;='2022 Regression Curves'!$F$11,('2022 Regression Curves'!$D$11*C13)/('2022 Regression Curves'!$E$11+C13),('2022 Regression Curves'!$D$11*'2022 Regression Curves'!$F$11)/('2022 Regression Curves'!$E$11+'2022 Regression Curves'!$F$11)),($D$7*$D$8))</f>
        <v>7.0806207344177169E-2</v>
      </c>
      <c r="K13" s="45">
        <f>IF(IF(C13&lt;='2022 Regression Curves'!$F$12,('2022 Regression Curves'!$D$12*C13)/('2022 Regression Curves'!$E$12+C13),('2022 Regression Curves'!$D$12*'2022 Regression Curves'!$F$12)/('2022 Regression Curves'!$E$12+'2022 Regression Curves'!$F$12))&lt;=($D$7*$D$8),IF(C13&lt;='2022 Regression Curves'!$F$12,('2022 Regression Curves'!$D$12*C13)/('2022 Regression Curves'!$E$12+C13),('2022 Regression Curves'!$D$12*'2022 Regression Curves'!$F$12)/('2022 Regression Curves'!$E$12+'2022 Regression Curves'!$F$12)),($D$7*$D$8))</f>
        <v>3.0714078093208023E-2</v>
      </c>
    </row>
    <row r="14" spans="2:11" s="2" customFormat="1" ht="17.399999999999999" customHeight="1" x14ac:dyDescent="0.3">
      <c r="B14" s="105"/>
      <c r="C14" s="30">
        <v>300</v>
      </c>
      <c r="D14" s="29">
        <f>IF(IF(C14&lt;='2022 Regression Curves'!$F$5,('2022 Regression Curves'!$D$5*C14)/('2022 Regression Curves'!$E$5+C14),('2022 Regression Curves'!$D$5*'2022 Regression Curves'!$F$5)/('2022 Regression Curves'!$E$5+'2022 Regression Curves'!$F$5))&lt;=($D$7*$D$8),IF(C14&lt;='2022 Regression Curves'!$F$5,('2022 Regression Curves'!$D$5*C14)/('2022 Regression Curves'!$E$5+C14),('2022 Regression Curves'!$D$5*'2022 Regression Curves'!$F$5)/('2022 Regression Curves'!$E$5+'2022 Regression Curves'!$F$5)),($D$7*$D$8))</f>
        <v>0.11181979450427822</v>
      </c>
      <c r="E14" s="29">
        <f>IF(IF(C14&lt;='2022 Regression Curves'!$F$6,('2022 Regression Curves'!$D$6*C14)/('2022 Regression Curves'!$E$6+C14),('2022 Regression Curves'!$D$6*'2022 Regression Curves'!$F$6)/('2022 Regression Curves'!$E$6+'2022 Regression Curves'!$F$6))&lt;=($D$7*$D$8),IF(C14&lt;='2022 Regression Curves'!$F$6,('2022 Regression Curves'!$D$6*C14)/('2022 Regression Curves'!$E$6+C14),('2022 Regression Curves'!$D$6*'2022 Regression Curves'!$F$6)/('2022 Regression Curves'!$E$6+'2022 Regression Curves'!$F$6)),($D$7*$D$8))</f>
        <v>4.0314247868257096E-2</v>
      </c>
      <c r="F14" s="29">
        <f>IF(IF(C14&lt;='2022 Regression Curves'!$F$7,('2022 Regression Curves'!$D$7*C14)/('2022 Regression Curves'!$E$7+C14),('2022 Regression Curves'!$D$7*'2022 Regression Curves'!$F$7)/('2022 Regression Curves'!$E$7+'2022 Regression Curves'!$F$7))&lt;=($D$7*$D$8),IF(C14&lt;='2022 Regression Curves'!$F$7,('2022 Regression Curves'!$D$7*C14)/('2022 Regression Curves'!$E$7+C14),('2022 Regression Curves'!$D$7*'2022 Regression Curves'!$F$7)/('2022 Regression Curves'!$E$7+'2022 Regression Curves'!$F$7)),($D$7*$D$8))</f>
        <v>8.7506954882535168E-2</v>
      </c>
      <c r="G14" s="29">
        <f>IF(IF(C14&lt;='2022 Regression Curves'!$F$8,('2022 Regression Curves'!$D$8*C14)/('2022 Regression Curves'!$E$8+C14),('2022 Regression Curves'!$D$8*'2022 Regression Curves'!$F$8)/('2022 Regression Curves'!$E$8+'2022 Regression Curves'!$F$8))&lt;=($D$7*$D$8),IF(C14&lt;='2022 Regression Curves'!$F$8,('2022 Regression Curves'!$D$8*C14)/('2022 Regression Curves'!$E$8+C14),('2022 Regression Curves'!$D$8*'2022 Regression Curves'!$F$8)/('2022 Regression Curves'!$E$8+'2022 Regression Curves'!$F$8)),($D$7*$D$8))</f>
        <v>8.5759285779076391E-2</v>
      </c>
      <c r="H14" s="29">
        <f>IF(IF(C14&lt;='2022 Regression Curves'!$F$9,('2022 Regression Curves'!$D$9*C14)/('2022 Regression Curves'!$E$9+C14),('2022 Regression Curves'!$D$9*'2022 Regression Curves'!$F$9)/('2022 Regression Curves'!$E$9+'2022 Regression Curves'!$F$9))&lt;=($D$7*$D$8),IF(C14&lt;='2022 Regression Curves'!$F$9,('2022 Regression Curves'!$D$9*C14)/('2022 Regression Curves'!$E$9+C14),('2022 Regression Curves'!$D$9*'2022 Regression Curves'!$F$9)/('2022 Regression Curves'!$E$9+'2022 Regression Curves'!$F$9)),($D$7*$D$8))</f>
        <v>0.10257227506175343</v>
      </c>
      <c r="I14" s="29">
        <f>IF(IF(C14&lt;='2022 Regression Curves'!$F$10,('2022 Regression Curves'!$D$10*C14)/('2022 Regression Curves'!$E$10+C14),('2022 Regression Curves'!$D$10*'2022 Regression Curves'!$F$10)/('2022 Regression Curves'!$E$10+'2022 Regression Curves'!$F$10))&lt;=($D$7*$D$8),IF(C14&lt;='2022 Regression Curves'!$F$10,('2022 Regression Curves'!$D$10*C14)/('2022 Regression Curves'!$E$10+C14),('2022 Regression Curves'!$D$10*'2022 Regression Curves'!$F$10)/('2022 Regression Curves'!$E$10+'2022 Regression Curves'!$F$10)),($D$7*$D$8))</f>
        <v>7.7744069902059371E-2</v>
      </c>
      <c r="J14" s="29">
        <f>IF(IF(C14&lt;='2022 Regression Curves'!$F$11,('2022 Regression Curves'!$D$11*C14)/('2022 Regression Curves'!$E$11+C14),('2022 Regression Curves'!$D$11*'2022 Regression Curves'!$F$11)/('2022 Regression Curves'!$E$11+'2022 Regression Curves'!$F$11))&lt;=($D$7*$D$8),IF(C14&lt;='2022 Regression Curves'!$F$11,('2022 Regression Curves'!$D$11*C14)/('2022 Regression Curves'!$E$11+C14),('2022 Regression Curves'!$D$11*'2022 Regression Curves'!$F$11)/('2022 Regression Curves'!$E$11+'2022 Regression Curves'!$F$11)),($D$7*$D$8))</f>
        <v>7.735974070160985E-2</v>
      </c>
      <c r="K14" s="29">
        <f>IF(IF(C14&lt;='2022 Regression Curves'!$F$12,('2022 Regression Curves'!$D$12*C14)/('2022 Regression Curves'!$E$12+C14),('2022 Regression Curves'!$D$12*'2022 Regression Curves'!$F$12)/('2022 Regression Curves'!$E$12+'2022 Regression Curves'!$F$12))&lt;=($D$7*$D$8),IF(C14&lt;='2022 Regression Curves'!$F$12,('2022 Regression Curves'!$D$12*C14)/('2022 Regression Curves'!$E$12+C14),('2022 Regression Curves'!$D$12*'2022 Regression Curves'!$F$12)/('2022 Regression Curves'!$E$12+'2022 Regression Curves'!$F$12)),($D$7*$D$8))</f>
        <v>3.6156258910749924E-2</v>
      </c>
    </row>
    <row r="15" spans="2:11" s="2" customFormat="1" ht="17.399999999999999" customHeight="1" x14ac:dyDescent="0.3">
      <c r="B15" s="105"/>
      <c r="C15" s="32">
        <v>400</v>
      </c>
      <c r="D15" s="31">
        <f>IF(IF(C15&lt;='2022 Regression Curves'!$F$5,('2022 Regression Curves'!$D$5*C15)/('2022 Regression Curves'!$E$5+C15),('2022 Regression Curves'!$D$5*'2022 Regression Curves'!$F$5)/('2022 Regression Curves'!$E$5+'2022 Regression Curves'!$F$5))&lt;=($D$7*$D$8),IF(C15&lt;='2022 Regression Curves'!$F$5,('2022 Regression Curves'!$D$5*C15)/('2022 Regression Curves'!$E$5+C15),('2022 Regression Curves'!$D$5*'2022 Regression Curves'!$F$5)/('2022 Regression Curves'!$E$5+'2022 Regression Curves'!$F$5)),($D$7*$D$8))</f>
        <v>0.13236831596092666</v>
      </c>
      <c r="E15" s="31">
        <f>IF(IF(C15&lt;='2022 Regression Curves'!$F$6,('2022 Regression Curves'!$D$6*C15)/('2022 Regression Curves'!$E$6+C15),('2022 Regression Curves'!$D$6*'2022 Regression Curves'!$F$6)/('2022 Regression Curves'!$E$6+'2022 Regression Curves'!$F$6))&lt;=($D$7*$D$8),IF(C15&lt;='2022 Regression Curves'!$F$6,('2022 Regression Curves'!$D$6*C15)/('2022 Regression Curves'!$E$6+C15),('2022 Regression Curves'!$D$6*'2022 Regression Curves'!$F$6)/('2022 Regression Curves'!$E$6+'2022 Regression Curves'!$F$6)),($D$7*$D$8))</f>
        <v>5.0879542682698703E-2</v>
      </c>
      <c r="F15" s="31">
        <f>IF(IF(C15&lt;='2022 Regression Curves'!$F$7,('2022 Regression Curves'!$D$7*C15)/('2022 Regression Curves'!$E$7+C15),('2022 Regression Curves'!$D$7*'2022 Regression Curves'!$F$7)/('2022 Regression Curves'!$E$7+'2022 Regression Curves'!$F$7))&lt;=($D$7*$D$8),IF(C15&lt;='2022 Regression Curves'!$F$7,('2022 Regression Curves'!$D$7*C15)/('2022 Regression Curves'!$E$7+C15),('2022 Regression Curves'!$D$7*'2022 Regression Curves'!$F$7)/('2022 Regression Curves'!$E$7+'2022 Regression Curves'!$F$7)),($D$7*$D$8))</f>
        <v>0.10570347354403811</v>
      </c>
      <c r="G15" s="31">
        <f>IF(IF(C15&lt;='2022 Regression Curves'!$F$8,('2022 Regression Curves'!$D$8*C15)/('2022 Regression Curves'!$E$8+C15),('2022 Regression Curves'!$D$8*'2022 Regression Curves'!$F$8)/('2022 Regression Curves'!$E$8+'2022 Regression Curves'!$F$8))&lt;=($D$7*$D$8),IF(C15&lt;='2022 Regression Curves'!$F$8,('2022 Regression Curves'!$D$8*C15)/('2022 Regression Curves'!$E$8+C15),('2022 Regression Curves'!$D$8*'2022 Regression Curves'!$F$8)/('2022 Regression Curves'!$E$8+'2022 Regression Curves'!$F$8)),($D$7*$D$8))</f>
        <v>0.10052947132614323</v>
      </c>
      <c r="H15" s="31">
        <f>IF(IF(C15&lt;='2022 Regression Curves'!$F$9,('2022 Regression Curves'!$D$9*C15)/('2022 Regression Curves'!$E$9+C15),('2022 Regression Curves'!$D$9*'2022 Regression Curves'!$F$9)/('2022 Regression Curves'!$E$9+'2022 Regression Curves'!$F$9))&lt;=($D$7*$D$8),IF(C15&lt;='2022 Regression Curves'!$F$9,('2022 Regression Curves'!$D$9*C15)/('2022 Regression Curves'!$E$9+C15),('2022 Regression Curves'!$D$9*'2022 Regression Curves'!$F$9)/('2022 Regression Curves'!$E$9+'2022 Regression Curves'!$F$9)),($D$7*$D$8))</f>
        <v>0.11945662421147871</v>
      </c>
      <c r="I15" s="31">
        <f>IF(IF(C15&lt;='2022 Regression Curves'!$F$10,('2022 Regression Curves'!$D$10*C15)/('2022 Regression Curves'!$E$10+C15),('2022 Regression Curves'!$D$10*'2022 Regression Curves'!$F$10)/('2022 Regression Curves'!$E$10+'2022 Regression Curves'!$F$10))&lt;=($D$7*$D$8),IF(C15&lt;='2022 Regression Curves'!$F$10,('2022 Regression Curves'!$D$10*C15)/('2022 Regression Curves'!$E$10+C15),('2022 Regression Curves'!$D$10*'2022 Regression Curves'!$F$10)/('2022 Regression Curves'!$E$10+'2022 Regression Curves'!$F$10)),($D$7*$D$8))</f>
        <v>9.0861729681416065E-2</v>
      </c>
      <c r="J15" s="31">
        <f>IF(IF(C15&lt;='2022 Regression Curves'!$F$11,('2022 Regression Curves'!$D$11*C15)/('2022 Regression Curves'!$E$11+C15),('2022 Regression Curves'!$D$11*'2022 Regression Curves'!$F$11)/('2022 Regression Curves'!$E$11+'2022 Regression Curves'!$F$11))&lt;=($D$7*$D$8),IF(C15&lt;='2022 Regression Curves'!$F$11,('2022 Regression Curves'!$D$11*C15)/('2022 Regression Curves'!$E$11+C15),('2022 Regression Curves'!$D$11*'2022 Regression Curves'!$F$11)/('2022 Regression Curves'!$E$11+'2022 Regression Curves'!$F$11)),($D$7*$D$8))</f>
        <v>8.7480825600291592E-2</v>
      </c>
      <c r="K15" s="31">
        <f>IF(IF(C15&lt;='2022 Regression Curves'!$F$12,('2022 Regression Curves'!$D$12*C15)/('2022 Regression Curves'!$E$12+C15),('2022 Regression Curves'!$D$12*'2022 Regression Curves'!$F$12)/('2022 Regression Curves'!$E$12+'2022 Regression Curves'!$F$12))&lt;=($D$7*$D$8),IF(C15&lt;='2022 Regression Curves'!$F$12,('2022 Regression Curves'!$D$12*C15)/('2022 Regression Curves'!$E$12+C15),('2022 Regression Curves'!$D$12*'2022 Regression Curves'!$F$12)/('2022 Regression Curves'!$E$12+'2022 Regression Curves'!$F$12)),($D$7*$D$8))</f>
        <v>4.6442633458474498E-2</v>
      </c>
    </row>
    <row r="16" spans="2:11" s="2" customFormat="1" ht="17.399999999999999" customHeight="1" x14ac:dyDescent="0.3">
      <c r="B16" s="105"/>
      <c r="C16" s="30">
        <v>500</v>
      </c>
      <c r="D16" s="29">
        <f>IF(IF(C16&lt;='2022 Regression Curves'!$F$5,('2022 Regression Curves'!$D$5*C16)/('2022 Regression Curves'!$E$5+C16),('2022 Regression Curves'!$D$5*'2022 Regression Curves'!$F$5)/('2022 Regression Curves'!$E$5+'2022 Regression Curves'!$F$5))&lt;=($D$7*$D$8),IF(C16&lt;='2022 Regression Curves'!$F$5,('2022 Regression Curves'!$D$5*C16)/('2022 Regression Curves'!$E$5+C16),('2022 Regression Curves'!$D$5*'2022 Regression Curves'!$F$5)/('2022 Regression Curves'!$E$5+'2022 Regression Curves'!$F$5)),($D$7*$D$8))</f>
        <v>0.14877170049583843</v>
      </c>
      <c r="E16" s="29">
        <f>IF(IF(C16&lt;='2022 Regression Curves'!$F$6,('2022 Regression Curves'!$D$6*C16)/('2022 Regression Curves'!$E$6+C16),('2022 Regression Curves'!$D$6*'2022 Regression Curves'!$F$6)/('2022 Regression Curves'!$E$6+'2022 Regression Curves'!$F$6))&lt;=($D$7*$D$8),IF(C16&lt;='2022 Regression Curves'!$F$6,('2022 Regression Curves'!$D$6*C16)/('2022 Regression Curves'!$E$6+C16),('2022 Regression Curves'!$D$6*'2022 Regression Curves'!$F$6)/('2022 Regression Curves'!$E$6+'2022 Regression Curves'!$F$6)),($D$7*$D$8))</f>
        <v>6.0372809709977139E-2</v>
      </c>
      <c r="F16" s="29">
        <f>IF(IF(C16&lt;='2022 Regression Curves'!$F$7,('2022 Regression Curves'!$D$7*C16)/('2022 Regression Curves'!$E$7+C16),('2022 Regression Curves'!$D$7*'2022 Regression Curves'!$F$7)/('2022 Regression Curves'!$E$7+'2022 Regression Curves'!$F$7))&lt;=($D$7*$D$8),IF(C16&lt;='2022 Regression Curves'!$F$7,('2022 Regression Curves'!$D$7*C16)/('2022 Regression Curves'!$E$7+C16),('2022 Regression Curves'!$D$7*'2022 Regression Curves'!$F$7)/('2022 Regression Curves'!$E$7+'2022 Regression Curves'!$F$7)),($D$7*$D$8))</f>
        <v>0.12077170108445252</v>
      </c>
      <c r="G16" s="29">
        <f>IF(IF(C16&lt;='2022 Regression Curves'!$F$8,('2022 Regression Curves'!$D$8*C16)/('2022 Regression Curves'!$E$8+C16),('2022 Regression Curves'!$D$8*'2022 Regression Curves'!$F$8)/('2022 Regression Curves'!$E$8+'2022 Regression Curves'!$F$8))&lt;=($D$7*$D$8),IF(C16&lt;='2022 Regression Curves'!$F$8,('2022 Regression Curves'!$D$8*C16)/('2022 Regression Curves'!$E$8+C16),('2022 Regression Curves'!$D$8*'2022 Regression Curves'!$F$8)/('2022 Regression Curves'!$E$8+'2022 Regression Curves'!$F$8)),($D$7*$D$8))</f>
        <v>0.11211511635177412</v>
      </c>
      <c r="H16" s="29">
        <f>IF(IF(C16&lt;='2022 Regression Curves'!$F$9,('2022 Regression Curves'!$D$9*C16)/('2022 Regression Curves'!$E$9+C16),('2022 Regression Curves'!$D$9*'2022 Regression Curves'!$F$9)/('2022 Regression Curves'!$E$9+'2022 Regression Curves'!$F$9))&lt;=($D$7*$D$8),IF(C16&lt;='2022 Regression Curves'!$F$9,('2022 Regression Curves'!$D$9*C16)/('2022 Regression Curves'!$E$9+C16),('2022 Regression Curves'!$D$9*'2022 Regression Curves'!$F$9)/('2022 Regression Curves'!$E$9+'2022 Regression Curves'!$F$9)),($D$7*$D$8))</f>
        <v>0.13254778179040602</v>
      </c>
      <c r="I16" s="29">
        <f>IF(IF(C16&lt;='2022 Regression Curves'!$F$10,('2022 Regression Curves'!$D$10*C16)/('2022 Regression Curves'!$E$10+C16),('2022 Regression Curves'!$D$10*'2022 Regression Curves'!$F$10)/('2022 Regression Curves'!$E$10+'2022 Regression Curves'!$F$10))&lt;=($D$7*$D$8),IF(C16&lt;='2022 Regression Curves'!$F$10,('2022 Regression Curves'!$D$10*C16)/('2022 Regression Curves'!$E$10+C16),('2022 Regression Curves'!$D$10*'2022 Regression Curves'!$F$10)/('2022 Regression Curves'!$E$10+'2022 Regression Curves'!$F$10)),($D$7*$D$8))</f>
        <v>0.10109645700873167</v>
      </c>
      <c r="J16" s="29">
        <f>IF(IF(C16&lt;='2022 Regression Curves'!$F$11,('2022 Regression Curves'!$D$11*C16)/('2022 Regression Curves'!$E$11+C16),('2022 Regression Curves'!$D$11*'2022 Regression Curves'!$F$11)/('2022 Regression Curves'!$E$11+'2022 Regression Curves'!$F$11))&lt;=($D$7*$D$8),IF(C16&lt;='2022 Regression Curves'!$F$11,('2022 Regression Curves'!$D$11*C16)/('2022 Regression Curves'!$E$11+C16),('2022 Regression Curves'!$D$11*'2022 Regression Curves'!$F$11)/('2022 Regression Curves'!$E$11+'2022 Regression Curves'!$F$11)),($D$7*$D$8))</f>
        <v>9.4932953601518918E-2</v>
      </c>
      <c r="K16" s="29">
        <f>IF(IF(C16&lt;='2022 Regression Curves'!$F$12,('2022 Regression Curves'!$D$12*C16)/('2022 Regression Curves'!$E$12+C16),('2022 Regression Curves'!$D$12*'2022 Regression Curves'!$F$12)/('2022 Regression Curves'!$E$12+'2022 Regression Curves'!$F$12))&lt;=($D$7*$D$8),IF(C16&lt;='2022 Regression Curves'!$F$12,('2022 Regression Curves'!$D$12*C16)/('2022 Regression Curves'!$E$12+C16),('2022 Regression Curves'!$D$12*'2022 Regression Curves'!$F$12)/('2022 Regression Curves'!$E$12+'2022 Regression Curves'!$F$12)),($D$7*$D$8))</f>
        <v>5.6002119954067661E-2</v>
      </c>
    </row>
    <row r="17" spans="2:11" s="2" customFormat="1" ht="17.399999999999999" customHeight="1" x14ac:dyDescent="0.3">
      <c r="B17" s="105"/>
      <c r="C17" s="32">
        <v>600</v>
      </c>
      <c r="D17" s="31">
        <f>IF(IF(C17&lt;='2022 Regression Curves'!$F$5,('2022 Regression Curves'!$D$5*C17)/('2022 Regression Curves'!$E$5+C17),('2022 Regression Curves'!$D$5*'2022 Regression Curves'!$F$5)/('2022 Regression Curves'!$E$5+'2022 Regression Curves'!$F$5))&lt;=($D$7*$D$8),IF(C17&lt;='2022 Regression Curves'!$F$5,('2022 Regression Curves'!$D$5*C17)/('2022 Regression Curves'!$E$5+C17),('2022 Regression Curves'!$D$5*'2022 Regression Curves'!$F$5)/('2022 Regression Curves'!$E$5+'2022 Regression Curves'!$F$5)),($D$7*$D$8))</f>
        <v>0.16216929374814468</v>
      </c>
      <c r="E17" s="31">
        <f>IF(IF(C17&lt;='2022 Regression Curves'!$F$6,('2022 Regression Curves'!$D$6*C17)/('2022 Regression Curves'!$E$6+C17),('2022 Regression Curves'!$D$6*'2022 Regression Curves'!$F$6)/('2022 Regression Curves'!$E$6+'2022 Regression Curves'!$F$6))&lt;=($D$7*$D$8),IF(C17&lt;='2022 Regression Curves'!$F$6,('2022 Regression Curves'!$D$6*C17)/('2022 Regression Curves'!$E$6+C17),('2022 Regression Curves'!$D$6*'2022 Regression Curves'!$F$6)/('2022 Regression Curves'!$E$6+'2022 Regression Curves'!$F$6)),($D$7*$D$8))</f>
        <v>6.8949333827759918E-2</v>
      </c>
      <c r="F17" s="31">
        <f>IF(IF(C17&lt;='2022 Regression Curves'!$F$7,('2022 Regression Curves'!$D$7*C17)/('2022 Regression Curves'!$E$7+C17),('2022 Regression Curves'!$D$7*'2022 Regression Curves'!$F$7)/('2022 Regression Curves'!$E$7+'2022 Regression Curves'!$F$7))&lt;=($D$7*$D$8),IF(C17&lt;='2022 Regression Curves'!$F$7,('2022 Regression Curves'!$D$7*C17)/('2022 Regression Curves'!$E$7+C17),('2022 Regression Curves'!$D$7*'2022 Regression Curves'!$F$7)/('2022 Regression Curves'!$E$7+'2022 Regression Curves'!$F$7)),($D$7*$D$8))</f>
        <v>0.13345449249298694</v>
      </c>
      <c r="G17" s="31">
        <f>IF(IF(C17&lt;='2022 Regression Curves'!$F$8,('2022 Regression Curves'!$D$8*C17)/('2022 Regression Curves'!$E$8+C17),('2022 Regression Curves'!$D$8*'2022 Regression Curves'!$F$8)/('2022 Regression Curves'!$E$8+'2022 Regression Curves'!$F$8))&lt;=($D$7*$D$8),IF(C17&lt;='2022 Regression Curves'!$F$8,('2022 Regression Curves'!$D$8*C17)/('2022 Regression Curves'!$E$8+C17),('2022 Regression Curves'!$D$8*'2022 Regression Curves'!$F$8)/('2022 Regression Curves'!$E$8+'2022 Regression Curves'!$F$8)),($D$7*$D$8))</f>
        <v>0.12144590694207381</v>
      </c>
      <c r="H17" s="31">
        <f>IF(IF(C17&lt;='2022 Regression Curves'!$F$9,('2022 Regression Curves'!$D$9*C17)/('2022 Regression Curves'!$E$9+C17),('2022 Regression Curves'!$D$9*'2022 Regression Curves'!$F$9)/('2022 Regression Curves'!$E$9+'2022 Regression Curves'!$F$9))&lt;=($D$7*$D$8),IF(C17&lt;='2022 Regression Curves'!$F$9,('2022 Regression Curves'!$D$9*C17)/('2022 Regression Curves'!$E$9+C17),('2022 Regression Curves'!$D$9*'2022 Regression Curves'!$F$9)/('2022 Regression Curves'!$E$9+'2022 Regression Curves'!$F$9)),($D$7*$D$8))</f>
        <v>0.14299491539972431</v>
      </c>
      <c r="I17" s="31">
        <f>IF(IF(C17&lt;='2022 Regression Curves'!$F$10,('2022 Regression Curves'!$D$10*C17)/('2022 Regression Curves'!$E$10+C17),('2022 Regression Curves'!$D$10*'2022 Regression Curves'!$F$10)/('2022 Regression Curves'!$E$10+'2022 Regression Curves'!$F$10))&lt;=($D$7*$D$8),IF(C17&lt;='2022 Regression Curves'!$F$10,('2022 Regression Curves'!$D$10*C17)/('2022 Regression Curves'!$E$10+C17),('2022 Regression Curves'!$D$10*'2022 Regression Curves'!$F$10)/('2022 Regression Curves'!$E$10+'2022 Regression Curves'!$F$10)),($D$7*$D$8))</f>
        <v>0.1093045498018855</v>
      </c>
      <c r="J17" s="31">
        <f>IF(IF(C17&lt;='2022 Regression Curves'!$F$11,('2022 Regression Curves'!$D$11*C17)/('2022 Regression Curves'!$E$11+C17),('2022 Regression Curves'!$D$11*'2022 Regression Curves'!$F$11)/('2022 Regression Curves'!$E$11+'2022 Regression Curves'!$F$11))&lt;=($D$7*$D$8),IF(C17&lt;='2022 Regression Curves'!$F$11,('2022 Regression Curves'!$D$11*C17)/('2022 Regression Curves'!$E$11+C17),('2022 Regression Curves'!$D$11*'2022 Regression Curves'!$F$11)/('2022 Regression Curves'!$E$11+'2022 Regression Curves'!$F$11)),($D$7*$D$8))</f>
        <v>0.10064885896345653</v>
      </c>
      <c r="K17" s="31">
        <f>IF(IF(C17&lt;='2022 Regression Curves'!$F$12,('2022 Regression Curves'!$D$12*C17)/('2022 Regression Curves'!$E$12+C17),('2022 Regression Curves'!$D$12*'2022 Regression Curves'!$F$12)/('2022 Regression Curves'!$E$12+'2022 Regression Curves'!$F$12))&lt;=($D$7*$D$8),IF(C17&lt;='2022 Regression Curves'!$F$12,('2022 Regression Curves'!$D$12*C17)/('2022 Regression Curves'!$E$12+C17),('2022 Regression Curves'!$D$12*'2022 Regression Curves'!$F$12)/('2022 Regression Curves'!$E$12+'2022 Regression Curves'!$F$12)),($D$7*$D$8))</f>
        <v>6.4909137445610443E-2</v>
      </c>
    </row>
    <row r="18" spans="2:11" s="2" customFormat="1" ht="17.399999999999999" customHeight="1" x14ac:dyDescent="0.3">
      <c r="B18" s="105"/>
      <c r="C18" s="30">
        <v>700</v>
      </c>
      <c r="D18" s="29">
        <f>IF(IF(C18&lt;='2022 Regression Curves'!$F$5,('2022 Regression Curves'!$D$5*C18)/('2022 Regression Curves'!$E$5+C18),('2022 Regression Curves'!$D$5*'2022 Regression Curves'!$F$5)/('2022 Regression Curves'!$E$5+'2022 Regression Curves'!$F$5))&lt;=($D$7*$D$8),IF(C18&lt;='2022 Regression Curves'!$F$5,('2022 Regression Curves'!$D$5*C18)/('2022 Regression Curves'!$E$5+C18),('2022 Regression Curves'!$D$5*'2022 Regression Curves'!$F$5)/('2022 Regression Curves'!$E$5+'2022 Regression Curves'!$F$5)),($D$7*$D$8))</f>
        <v>0.17331793475523982</v>
      </c>
      <c r="E18" s="29">
        <f>IF(IF(C18&lt;='2022 Regression Curves'!$F$6,('2022 Regression Curves'!$D$6*C18)/('2022 Regression Curves'!$E$6+C18),('2022 Regression Curves'!$D$6*'2022 Regression Curves'!$F$6)/('2022 Regression Curves'!$E$6+'2022 Regression Curves'!$F$6))&lt;=($D$7*$D$8),IF(C18&lt;='2022 Regression Curves'!$F$6,('2022 Regression Curves'!$D$6*C18)/('2022 Regression Curves'!$E$6+C18),('2022 Regression Curves'!$D$6*'2022 Regression Curves'!$F$6)/('2022 Regression Curves'!$E$6+'2022 Regression Curves'!$F$6)),($D$7*$D$8))</f>
        <v>7.6735790291126177E-2</v>
      </c>
      <c r="F18" s="29">
        <f>IF(IF(C18&lt;='2022 Regression Curves'!$F$7,('2022 Regression Curves'!$D$7*C18)/('2022 Regression Curves'!$E$7+C18),('2022 Regression Curves'!$D$7*'2022 Regression Curves'!$F$7)/('2022 Regression Curves'!$E$7+'2022 Regression Curves'!$F$7))&lt;=($D$7*$D$8),IF(C18&lt;='2022 Regression Curves'!$F$7,('2022 Regression Curves'!$D$7*C18)/('2022 Regression Curves'!$E$7+C18),('2022 Regression Curves'!$D$7*'2022 Regression Curves'!$F$7)/('2022 Regression Curves'!$E$7+'2022 Regression Curves'!$F$7)),($D$7*$D$8))</f>
        <v>0.1442767531789296</v>
      </c>
      <c r="G18" s="29">
        <f>IF(IF(C18&lt;='2022 Regression Curves'!$F$8,('2022 Regression Curves'!$D$8*C18)/('2022 Regression Curves'!$E$8+C18),('2022 Regression Curves'!$D$8*'2022 Regression Curves'!$F$8)/('2022 Regression Curves'!$E$8+'2022 Regression Curves'!$F$8))&lt;=($D$7*$D$8),IF(C18&lt;='2022 Regression Curves'!$F$8,('2022 Regression Curves'!$D$8*C18)/('2022 Regression Curves'!$E$8+C18),('2022 Regression Curves'!$D$8*'2022 Regression Curves'!$F$8)/('2022 Regression Curves'!$E$8+'2022 Regression Curves'!$F$8)),($D$7*$D$8))</f>
        <v>0.1291217415826991</v>
      </c>
      <c r="H18" s="29">
        <f>IF(IF(C18&lt;='2022 Regression Curves'!$F$9,('2022 Regression Curves'!$D$9*C18)/('2022 Regression Curves'!$E$9+C18),('2022 Regression Curves'!$D$9*'2022 Regression Curves'!$F$9)/('2022 Regression Curves'!$E$9+'2022 Regression Curves'!$F$9))&lt;=($D$7*$D$8),IF(C18&lt;='2022 Regression Curves'!$F$9,('2022 Regression Curves'!$D$9*C18)/('2022 Regression Curves'!$E$9+C18),('2022 Regression Curves'!$D$9*'2022 Regression Curves'!$F$9)/('2022 Regression Curves'!$E$9+'2022 Regression Curves'!$F$9)),($D$7*$D$8))</f>
        <v>0.15152557452682655</v>
      </c>
      <c r="I18" s="29">
        <f>IF(IF(C18&lt;='2022 Regression Curves'!$F$10,('2022 Regression Curves'!$D$10*C18)/('2022 Regression Curves'!$E$10+C18),('2022 Regression Curves'!$D$10*'2022 Regression Curves'!$F$10)/('2022 Regression Curves'!$E$10+'2022 Regression Curves'!$F$10))&lt;=($D$7*$D$8),IF(C18&lt;='2022 Regression Curves'!$F$10,('2022 Regression Curves'!$D$10*C18)/('2022 Regression Curves'!$E$10+C18),('2022 Regression Curves'!$D$10*'2022 Regression Curves'!$F$10)/('2022 Regression Curves'!$E$10+'2022 Regression Curves'!$F$10)),($D$7*$D$8))</f>
        <v>0.11603373626829019</v>
      </c>
      <c r="J18" s="29">
        <f>IF(IF(C18&lt;='2022 Regression Curves'!$F$11,('2022 Regression Curves'!$D$11*C18)/('2022 Regression Curves'!$E$11+C18),('2022 Regression Curves'!$D$11*'2022 Regression Curves'!$F$11)/('2022 Regression Curves'!$E$11+'2022 Regression Curves'!$F$11))&lt;=($D$7*$D$8),IF(C18&lt;='2022 Regression Curves'!$F$11,('2022 Regression Curves'!$D$11*C18)/('2022 Regression Curves'!$E$11+C18),('2022 Regression Curves'!$D$11*'2022 Regression Curves'!$F$11)/('2022 Regression Curves'!$E$11+'2022 Regression Curves'!$F$11)),($D$7*$D$8))</f>
        <v>0.10517200004173491</v>
      </c>
      <c r="K18" s="29">
        <f>IF(IF(C18&lt;='2022 Regression Curves'!$F$12,('2022 Regression Curves'!$D$12*C18)/('2022 Regression Curves'!$E$12+C18),('2022 Regression Curves'!$D$12*'2022 Regression Curves'!$F$12)/('2022 Regression Curves'!$E$12+'2022 Regression Curves'!$F$12))&lt;=($D$7*$D$8),IF(C18&lt;='2022 Regression Curves'!$F$12,('2022 Regression Curves'!$D$12*C18)/('2022 Regression Curves'!$E$12+C18),('2022 Regression Curves'!$D$12*'2022 Regression Curves'!$F$12)/('2022 Regression Curves'!$E$12+'2022 Regression Curves'!$F$12)),($D$7*$D$8))</f>
        <v>7.3228281494926162E-2</v>
      </c>
    </row>
    <row r="19" spans="2:11" s="2" customFormat="1" ht="17.399999999999999" customHeight="1" x14ac:dyDescent="0.3">
      <c r="B19" s="105"/>
      <c r="C19" s="32">
        <v>800</v>
      </c>
      <c r="D19" s="31">
        <f>IF(IF(C19&lt;='2022 Regression Curves'!$F$5,('2022 Regression Curves'!$D$5*C19)/('2022 Regression Curves'!$E$5+C19),('2022 Regression Curves'!$D$5*'2022 Regression Curves'!$F$5)/('2022 Regression Curves'!$E$5+'2022 Regression Curves'!$F$5))&lt;=($D$7*$D$8),IF(C19&lt;='2022 Regression Curves'!$F$5,('2022 Regression Curves'!$D$5*C19)/('2022 Regression Curves'!$E$5+C19),('2022 Regression Curves'!$D$5*'2022 Regression Curves'!$F$5)/('2022 Regression Curves'!$E$5+'2022 Regression Curves'!$F$5)),($D$7*$D$8))</f>
        <v>0.18274004763630394</v>
      </c>
      <c r="E19" s="31">
        <f>IF(IF(C19&lt;='2022 Regression Curves'!$F$6,('2022 Regression Curves'!$D$6*C19)/('2022 Regression Curves'!$E$6+C19),('2022 Regression Curves'!$D$6*'2022 Regression Curves'!$F$6)/('2022 Regression Curves'!$E$6+'2022 Regression Curves'!$F$6))&lt;=($D$7*$D$8),IF(C19&lt;='2022 Regression Curves'!$F$6,('2022 Regression Curves'!$D$6*C19)/('2022 Regression Curves'!$E$6+C19),('2022 Regression Curves'!$D$6*'2022 Regression Curves'!$F$6)/('2022 Regression Curves'!$E$6+'2022 Regression Curves'!$F$6)),($D$7*$D$8))</f>
        <v>8.3836543398180405E-2</v>
      </c>
      <c r="F19" s="31">
        <f>IF(IF(C19&lt;='2022 Regression Curves'!$F$7,('2022 Regression Curves'!$D$7*C19)/('2022 Regression Curves'!$E$7+C19),('2022 Regression Curves'!$D$7*'2022 Regression Curves'!$F$7)/('2022 Regression Curves'!$E$7+'2022 Regression Curves'!$F$7))&lt;=($D$7*$D$8),IF(C19&lt;='2022 Regression Curves'!$F$7,('2022 Regression Curves'!$D$7*C19)/('2022 Regression Curves'!$E$7+C19),('2022 Regression Curves'!$D$7*'2022 Regression Curves'!$F$7)/('2022 Regression Curves'!$E$7+'2022 Regression Curves'!$F$7)),($D$7*$D$8))</f>
        <v>0.15361990826540711</v>
      </c>
      <c r="G19" s="31">
        <f>IF(IF(C19&lt;='2022 Regression Curves'!$F$8,('2022 Regression Curves'!$D$8*C19)/('2022 Regression Curves'!$E$8+C19),('2022 Regression Curves'!$D$8*'2022 Regression Curves'!$F$8)/('2022 Regression Curves'!$E$8+'2022 Regression Curves'!$F$8))&lt;=($D$7*$D$8),IF(C19&lt;='2022 Regression Curves'!$F$8,('2022 Regression Curves'!$D$8*C19)/('2022 Regression Curves'!$E$8+C19),('2022 Regression Curves'!$D$8*'2022 Regression Curves'!$F$8)/('2022 Regression Curves'!$E$8+'2022 Regression Curves'!$F$8)),($D$7*$D$8))</f>
        <v>0.13554705128142469</v>
      </c>
      <c r="H19" s="31">
        <f>IF(IF(C19&lt;='2022 Regression Curves'!$F$9,('2022 Regression Curves'!$D$9*C19)/('2022 Regression Curves'!$E$9+C19),('2022 Regression Curves'!$D$9*'2022 Regression Curves'!$F$9)/('2022 Regression Curves'!$E$9+'2022 Regression Curves'!$F$9))&lt;=($D$7*$D$8),IF(C19&lt;='2022 Regression Curves'!$F$9,('2022 Regression Curves'!$D$9*C19)/('2022 Regression Curves'!$E$9+C19),('2022 Regression Curves'!$D$9*'2022 Regression Curves'!$F$9)/('2022 Regression Curves'!$E$9+'2022 Regression Curves'!$F$9)),($D$7*$D$8))</f>
        <v>0.15862280454864336</v>
      </c>
      <c r="I19" s="31">
        <f>IF(IF(C19&lt;='2022 Regression Curves'!$F$10,('2022 Regression Curves'!$D$10*C19)/('2022 Regression Curves'!$E$10+C19),('2022 Regression Curves'!$D$10*'2022 Regression Curves'!$F$10)/('2022 Regression Curves'!$E$10+'2022 Regression Curves'!$F$10))&lt;=($D$7*$D$8),IF(C19&lt;='2022 Regression Curves'!$F$10,('2022 Regression Curves'!$D$10*C19)/('2022 Regression Curves'!$E$10+C19),('2022 Regression Curves'!$D$10*'2022 Regression Curves'!$F$10)/('2022 Regression Curves'!$E$10+'2022 Regression Curves'!$F$10)),($D$7*$D$8))</f>
        <v>0.12165068073142471</v>
      </c>
      <c r="J19" s="31">
        <f>IF(IF(C19&lt;='2022 Regression Curves'!$F$11,('2022 Regression Curves'!$D$11*C19)/('2022 Regression Curves'!$E$11+C19),('2022 Regression Curves'!$D$11*'2022 Regression Curves'!$F$11)/('2022 Regression Curves'!$E$11+'2022 Regression Curves'!$F$11))&lt;=($D$7*$D$8),IF(C19&lt;='2022 Regression Curves'!$F$11,('2022 Regression Curves'!$D$11*C19)/('2022 Regression Curves'!$E$11+C19),('2022 Regression Curves'!$D$11*'2022 Regression Curves'!$F$11)/('2022 Regression Curves'!$E$11+'2022 Regression Curves'!$F$11)),($D$7*$D$8))</f>
        <v>0.10884045236813014</v>
      </c>
      <c r="K19" s="31">
        <f>IF(IF(C19&lt;='2022 Regression Curves'!$F$12,('2022 Regression Curves'!$D$12*C19)/('2022 Regression Curves'!$E$12+C19),('2022 Regression Curves'!$D$12*'2022 Regression Curves'!$F$12)/('2022 Regression Curves'!$E$12+'2022 Regression Curves'!$F$12))&lt;=($D$7*$D$8),IF(C19&lt;='2022 Regression Curves'!$F$12,('2022 Regression Curves'!$D$12*C19)/('2022 Regression Curves'!$E$12+C19),('2022 Regression Curves'!$D$12*'2022 Regression Curves'!$F$12)/('2022 Regression Curves'!$E$12+'2022 Regression Curves'!$F$12)),($D$7*$D$8))</f>
        <v>8.1015893299257249E-2</v>
      </c>
    </row>
    <row r="20" spans="2:11" s="2" customFormat="1" ht="17.399999999999999" customHeight="1" x14ac:dyDescent="0.3">
      <c r="B20" s="105"/>
      <c r="C20" s="30">
        <v>900</v>
      </c>
      <c r="D20" s="29">
        <f>IF(IF(C20&lt;='2022 Regression Curves'!$F$5,('2022 Regression Curves'!$D$5*C20)/('2022 Regression Curves'!$E$5+C20),('2022 Regression Curves'!$D$5*'2022 Regression Curves'!$F$5)/('2022 Regression Curves'!$E$5+'2022 Regression Curves'!$F$5))&lt;=($D$7*$D$8),IF(C20&lt;='2022 Regression Curves'!$F$5,('2022 Regression Curves'!$D$5*C20)/('2022 Regression Curves'!$E$5+C20),('2022 Regression Curves'!$D$5*'2022 Regression Curves'!$F$5)/('2022 Regression Curves'!$E$5+'2022 Regression Curves'!$F$5)),($D$7*$D$8))</f>
        <v>0.19080787551421105</v>
      </c>
      <c r="E20" s="29">
        <f>IF(IF(C20&lt;='2022 Regression Curves'!$F$6,('2022 Regression Curves'!$D$6*C20)/('2022 Regression Curves'!$E$6+C20),('2022 Regression Curves'!$D$6*'2022 Regression Curves'!$F$6)/('2022 Regression Curves'!$E$6+'2022 Regression Curves'!$F$6))&lt;=($D$7*$D$8),IF(C20&lt;='2022 Regression Curves'!$F$6,('2022 Regression Curves'!$D$6*C20)/('2022 Regression Curves'!$E$6+C20),('2022 Regression Curves'!$D$6*'2022 Regression Curves'!$F$6)/('2022 Regression Curves'!$E$6+'2022 Regression Curves'!$F$6)),($D$7*$D$8))</f>
        <v>9.0338351287131705E-2</v>
      </c>
      <c r="F20" s="29">
        <f>IF(IF(C20&lt;='2022 Regression Curves'!$F$7,('2022 Regression Curves'!$D$7*C20)/('2022 Regression Curves'!$E$7+C20),('2022 Regression Curves'!$D$7*'2022 Regression Curves'!$F$7)/('2022 Regression Curves'!$E$7+'2022 Regression Curves'!$F$7))&lt;=($D$7*$D$8),IF(C20&lt;='2022 Regression Curves'!$F$7,('2022 Regression Curves'!$D$7*C20)/('2022 Regression Curves'!$E$7+C20),('2022 Regression Curves'!$D$7*'2022 Regression Curves'!$F$7)/('2022 Regression Curves'!$E$7+'2022 Regression Curves'!$F$7)),($D$7*$D$8))</f>
        <v>0.16176779125878243</v>
      </c>
      <c r="G20" s="29">
        <f>IF(IF(C20&lt;='2022 Regression Curves'!$F$8,('2022 Regression Curves'!$D$8*C20)/('2022 Regression Curves'!$E$8+C20),('2022 Regression Curves'!$D$8*'2022 Regression Curves'!$F$8)/('2022 Regression Curves'!$E$8+'2022 Regression Curves'!$F$8))&lt;=($D$7*$D$8),IF(C20&lt;='2022 Regression Curves'!$F$8,('2022 Regression Curves'!$D$8*C20)/('2022 Regression Curves'!$E$8+C20),('2022 Regression Curves'!$D$8*'2022 Regression Curves'!$F$8)/('2022 Regression Curves'!$E$8+'2022 Regression Curves'!$F$8)),($D$7*$D$8))</f>
        <v>0.14100441542672665</v>
      </c>
      <c r="H20" s="29">
        <f>IF(IF(C20&lt;='2022 Regression Curves'!$F$9,('2022 Regression Curves'!$D$9*C20)/('2022 Regression Curves'!$E$9+C20),('2022 Regression Curves'!$D$9*'2022 Regression Curves'!$F$9)/('2022 Regression Curves'!$E$9+'2022 Regression Curves'!$F$9))&lt;=($D$7*$D$8),IF(C20&lt;='2022 Regression Curves'!$F$9,('2022 Regression Curves'!$D$9*C20)/('2022 Regression Curves'!$E$9+C20),('2022 Regression Curves'!$D$9*'2022 Regression Curves'!$F$9)/('2022 Regression Curves'!$E$9+'2022 Regression Curves'!$F$9)),($D$7*$D$8))</f>
        <v>0.1646198977713535</v>
      </c>
      <c r="I20" s="29">
        <f>IF(IF(C20&lt;='2022 Regression Curves'!$F$10,('2022 Regression Curves'!$D$10*C20)/('2022 Regression Curves'!$E$10+C20),('2022 Regression Curves'!$D$10*'2022 Regression Curves'!$F$10)/('2022 Regression Curves'!$E$10+'2022 Regression Curves'!$F$10))&lt;=($D$7*$D$8),IF(C20&lt;='2022 Regression Curves'!$F$10,('2022 Regression Curves'!$D$10*C20)/('2022 Regression Curves'!$E$10+C20),('2022 Regression Curves'!$D$10*'2022 Regression Curves'!$F$10)/('2022 Regression Curves'!$E$10+'2022 Regression Curves'!$F$10)),($D$7*$D$8))</f>
        <v>0.12641009082290222</v>
      </c>
      <c r="J20" s="29">
        <f>IF(IF(C20&lt;='2022 Regression Curves'!$F$11,('2022 Regression Curves'!$D$11*C20)/('2022 Regression Curves'!$E$11+C20),('2022 Regression Curves'!$D$11*'2022 Regression Curves'!$F$11)/('2022 Regression Curves'!$E$11+'2022 Regression Curves'!$F$11))&lt;=($D$7*$D$8),IF(C20&lt;='2022 Regression Curves'!$F$11,('2022 Regression Curves'!$D$11*C20)/('2022 Regression Curves'!$E$11+C20),('2022 Regression Curves'!$D$11*'2022 Regression Curves'!$F$11)/('2022 Regression Curves'!$E$11+'2022 Regression Curves'!$F$11)),($D$7*$D$8))</f>
        <v>0.11187555570901996</v>
      </c>
      <c r="K20" s="29">
        <f>IF(IF(C20&lt;='2022 Regression Curves'!$F$12,('2022 Regression Curves'!$D$12*C20)/('2022 Regression Curves'!$E$12+C20),('2022 Regression Curves'!$D$12*'2022 Regression Curves'!$F$12)/('2022 Regression Curves'!$E$12+'2022 Regression Curves'!$F$12))&lt;=($D$7*$D$8),IF(C20&lt;='2022 Regression Curves'!$F$12,('2022 Regression Curves'!$D$12*C20)/('2022 Regression Curves'!$E$12+C20),('2022 Regression Curves'!$D$12*'2022 Regression Curves'!$F$12)/('2022 Regression Curves'!$E$12+'2022 Regression Curves'!$F$12)),($D$7*$D$8))</f>
        <v>8.8321337357789645E-2</v>
      </c>
    </row>
    <row r="21" spans="2:11" s="2" customFormat="1" ht="17.399999999999999" customHeight="1" x14ac:dyDescent="0.3">
      <c r="B21" s="105"/>
      <c r="C21" s="32">
        <v>1000</v>
      </c>
      <c r="D21" s="31">
        <f>IF(IF(C21&lt;='2022 Regression Curves'!$F$5,('2022 Regression Curves'!$D$5*C21)/('2022 Regression Curves'!$E$5+C21),('2022 Regression Curves'!$D$5*'2022 Regression Curves'!$F$5)/('2022 Regression Curves'!$E$5+'2022 Regression Curves'!$F$5))&lt;=($D$7*$D$8),IF(C21&lt;='2022 Regression Curves'!$F$5,('2022 Regression Curves'!$D$5*C21)/('2022 Regression Curves'!$E$5+C21),('2022 Regression Curves'!$D$5*'2022 Regression Curves'!$F$5)/('2022 Regression Curves'!$E$5+'2022 Regression Curves'!$F$5)),($D$7*$D$8))</f>
        <v>0.19600000000000001</v>
      </c>
      <c r="E21" s="31">
        <f>IF(IF(C21&lt;='2022 Regression Curves'!$F$6,('2022 Regression Curves'!$D$6*C21)/('2022 Regression Curves'!$E$6+C21),('2022 Regression Curves'!$D$6*'2022 Regression Curves'!$F$6)/('2022 Regression Curves'!$E$6+'2022 Regression Curves'!$F$6))&lt;=($D$7*$D$8),IF(C21&lt;='2022 Regression Curves'!$F$6,('2022 Regression Curves'!$D$6*C21)/('2022 Regression Curves'!$E$6+C21),('2022 Regression Curves'!$D$6*'2022 Regression Curves'!$F$6)/('2022 Regression Curves'!$E$6+'2022 Regression Curves'!$F$6)),($D$7*$D$8))</f>
        <v>9.6313928369955545E-2</v>
      </c>
      <c r="F21" s="31">
        <f>IF(IF(C21&lt;='2022 Regression Curves'!$F$7,('2022 Regression Curves'!$D$7*C21)/('2022 Regression Curves'!$E$7+C21),('2022 Regression Curves'!$D$7*'2022 Regression Curves'!$F$7)/('2022 Regression Curves'!$E$7+'2022 Regression Curves'!$F$7))&lt;=($D$7*$D$8),IF(C21&lt;='2022 Regression Curves'!$F$7,('2022 Regression Curves'!$D$7*C21)/('2022 Regression Curves'!$E$7+C21),('2022 Regression Curves'!$D$7*'2022 Regression Curves'!$F$7)/('2022 Regression Curves'!$E$7+'2022 Regression Curves'!$F$7)),($D$7*$D$8))</f>
        <v>0.16893597987677894</v>
      </c>
      <c r="G21" s="31">
        <f>IF(IF(C21&lt;='2022 Regression Curves'!$F$8,('2022 Regression Curves'!$D$8*C21)/('2022 Regression Curves'!$E$8+C21),('2022 Regression Curves'!$D$8*'2022 Regression Curves'!$F$8)/('2022 Regression Curves'!$E$8+'2022 Regression Curves'!$F$8))&lt;=($D$7*$D$8),IF(C21&lt;='2022 Regression Curves'!$F$8,('2022 Regression Curves'!$D$8*C21)/('2022 Regression Curves'!$E$8+C21),('2022 Regression Curves'!$D$8*'2022 Regression Curves'!$F$8)/('2022 Regression Curves'!$E$8+'2022 Regression Curves'!$F$8)),($D$7*$D$8))</f>
        <v>0.14569723833686604</v>
      </c>
      <c r="H21" s="31">
        <f>IF(IF(C21&lt;='2022 Regression Curves'!$F$9,('2022 Regression Curves'!$D$9*C21)/('2022 Regression Curves'!$E$9+C21),('2022 Regression Curves'!$D$9*'2022 Regression Curves'!$F$9)/('2022 Regression Curves'!$E$9+'2022 Regression Curves'!$F$9))&lt;=($D$7*$D$8),IF(C21&lt;='2022 Regression Curves'!$F$9,('2022 Regression Curves'!$D$9*C21)/('2022 Regression Curves'!$E$9+C21),('2022 Regression Curves'!$D$9*'2022 Regression Curves'!$F$9)/('2022 Regression Curves'!$E$9+'2022 Regression Curves'!$F$9)),($D$7*$D$8))</f>
        <v>0.16975425194839761</v>
      </c>
      <c r="I21" s="31">
        <f>IF(IF(C21&lt;='2022 Regression Curves'!$F$10,('2022 Regression Curves'!$D$10*C21)/('2022 Regression Curves'!$E$10+C21),('2022 Regression Curves'!$D$10*'2022 Regression Curves'!$F$10)/('2022 Regression Curves'!$E$10+'2022 Regression Curves'!$F$10))&lt;=($D$7*$D$8),IF(C21&lt;='2022 Regression Curves'!$F$10,('2022 Regression Curves'!$D$10*C21)/('2022 Regression Curves'!$E$10+C21),('2022 Regression Curves'!$D$10*'2022 Regression Curves'!$F$10)/('2022 Regression Curves'!$E$10+'2022 Regression Curves'!$F$10)),($D$7*$D$8))</f>
        <v>0.13049441781759435</v>
      </c>
      <c r="J21" s="31">
        <f>IF(IF(C21&lt;='2022 Regression Curves'!$F$11,('2022 Regression Curves'!$D$11*C21)/('2022 Regression Curves'!$E$11+C21),('2022 Regression Curves'!$D$11*'2022 Regression Curves'!$F$11)/('2022 Regression Curves'!$E$11+'2022 Regression Curves'!$F$11))&lt;=($D$7*$D$8),IF(C21&lt;='2022 Regression Curves'!$F$11,('2022 Regression Curves'!$D$11*C21)/('2022 Regression Curves'!$E$11+C21),('2022 Regression Curves'!$D$11*'2022 Regression Curves'!$F$11)/('2022 Regression Curves'!$E$11+'2022 Regression Curves'!$F$11)),($D$7*$D$8))</f>
        <v>0.1144282955746446</v>
      </c>
      <c r="K21" s="31">
        <f>IF(IF(C21&lt;='2022 Regression Curves'!$F$12,('2022 Regression Curves'!$D$12*C21)/('2022 Regression Curves'!$E$12+C21),('2022 Regression Curves'!$D$12*'2022 Regression Curves'!$F$12)/('2022 Regression Curves'!$E$12+'2022 Regression Curves'!$F$12))&lt;=($D$7*$D$8),IF(C21&lt;='2022 Regression Curves'!$F$12,('2022 Regression Curves'!$D$12*C21)/('2022 Regression Curves'!$E$12+C21),('2022 Regression Curves'!$D$12*'2022 Regression Curves'!$F$12)/('2022 Regression Curves'!$E$12+'2022 Regression Curves'!$F$12)),($D$7*$D$8))</f>
        <v>9.5188048945274384E-2</v>
      </c>
    </row>
    <row r="22" spans="2:11" s="2" customFormat="1" ht="17.399999999999999" customHeight="1" x14ac:dyDescent="0.3">
      <c r="B22" s="105"/>
      <c r="C22" s="30">
        <v>1250</v>
      </c>
      <c r="D22" s="29">
        <f>IF(IF(C22&lt;='2022 Regression Curves'!$F$5,('2022 Regression Curves'!$D$5*C22)/('2022 Regression Curves'!$E$5+C22),('2022 Regression Curves'!$D$5*'2022 Regression Curves'!$F$5)/('2022 Regression Curves'!$E$5+'2022 Regression Curves'!$F$5))&lt;=($D$7*$D$8),IF(C22&lt;='2022 Regression Curves'!$F$5,('2022 Regression Curves'!$D$5*C22)/('2022 Regression Curves'!$E$5+C22),('2022 Regression Curves'!$D$5*'2022 Regression Curves'!$F$5)/('2022 Regression Curves'!$E$5+'2022 Regression Curves'!$F$5)),($D$7*$D$8))</f>
        <v>0.19600000000000001</v>
      </c>
      <c r="E22" s="29">
        <f>IF(IF(C22&lt;='2022 Regression Curves'!$F$6,('2022 Regression Curves'!$D$6*C22)/('2022 Regression Curves'!$E$6+C22),('2022 Regression Curves'!$D$6*'2022 Regression Curves'!$F$6)/('2022 Regression Curves'!$E$6+'2022 Regression Curves'!$F$6))&lt;=($D$7*$D$8),IF(C22&lt;='2022 Regression Curves'!$F$6,('2022 Regression Curves'!$D$6*C22)/('2022 Regression Curves'!$E$6+C22),('2022 Regression Curves'!$D$6*'2022 Regression Curves'!$F$6)/('2022 Regression Curves'!$E$6+'2022 Regression Curves'!$F$6)),($D$7*$D$8))</f>
        <v>0.10933134785155632</v>
      </c>
      <c r="F22" s="29"/>
      <c r="G22" s="29">
        <f>IF(IF(C22&lt;='2022 Regression Curves'!$F$8,('2022 Regression Curves'!$D$8*C22)/('2022 Regression Curves'!$E$8+C22),('2022 Regression Curves'!$D$8*'2022 Regression Curves'!$F$8)/('2022 Regression Curves'!$E$8+'2022 Regression Curves'!$F$8))&lt;=($D$7*$D$8),IF(C22&lt;='2022 Regression Curves'!$F$8,('2022 Regression Curves'!$D$8*C22)/('2022 Regression Curves'!$E$8+C22),('2022 Regression Curves'!$D$8*'2022 Regression Curves'!$F$8)/('2022 Regression Curves'!$E$8+'2022 Regression Curves'!$F$8)),($D$7*$D$8))</f>
        <v>0.15498164659654343</v>
      </c>
      <c r="H22" s="29">
        <f>IF(IF(C22&lt;='2022 Regression Curves'!$F$9,('2022 Regression Curves'!$D$9*C22)/('2022 Regression Curves'!$E$9+C22),('2022 Regression Curves'!$D$9*'2022 Regression Curves'!$F$9)/('2022 Regression Curves'!$E$9+'2022 Regression Curves'!$F$9))&lt;=($D$7*$D$8),IF(C22&lt;='2022 Regression Curves'!$F$9,('2022 Regression Curves'!$D$9*C22)/('2022 Regression Curves'!$E$9+C22),('2022 Regression Curves'!$D$9*'2022 Regression Curves'!$F$9)/('2022 Regression Curves'!$E$9+'2022 Regression Curves'!$F$9)),($D$7*$D$8))</f>
        <v>0.17985118076872664</v>
      </c>
      <c r="I22" s="29">
        <f>IF(IF(C22&lt;='2022 Regression Curves'!$F$10,('2022 Regression Curves'!$D$10*C22)/('2022 Regression Curves'!$E$10+C22),('2022 Regression Curves'!$D$10*'2022 Regression Curves'!$F$10)/('2022 Regression Curves'!$E$10+'2022 Regression Curves'!$F$10))&lt;=($D$7*$D$8),IF(C22&lt;='2022 Regression Curves'!$F$10,('2022 Regression Curves'!$D$10*C22)/('2022 Regression Curves'!$E$10+C22),('2022 Regression Curves'!$D$10*'2022 Regression Curves'!$F$10)/('2022 Regression Curves'!$E$10+'2022 Regression Curves'!$F$10)),($D$7*$D$8))</f>
        <v>0.13855238063110006</v>
      </c>
      <c r="J22" s="29">
        <f>IF(IF(C22&lt;='2022 Regression Curves'!$F$11,('2022 Regression Curves'!$D$11*C22)/('2022 Regression Curves'!$E$11+C22),('2022 Regression Curves'!$D$11*'2022 Regression Curves'!$F$11)/('2022 Regression Curves'!$E$11+'2022 Regression Curves'!$F$11))&lt;=($D$7*$D$8),IF(C22&lt;='2022 Regression Curves'!$F$11,('2022 Regression Curves'!$D$11*C22)/('2022 Regression Curves'!$E$11+C22),('2022 Regression Curves'!$D$11*'2022 Regression Curves'!$F$11)/('2022 Regression Curves'!$E$11+'2022 Regression Curves'!$F$11)),($D$7*$D$8))</f>
        <v>0.11932936894652055</v>
      </c>
      <c r="K22" s="29">
        <f>IF(IF(C22&lt;='2022 Regression Curves'!$F$12,('2022 Regression Curves'!$D$12*C22)/('2022 Regression Curves'!$E$12+C22),('2022 Regression Curves'!$D$12*'2022 Regression Curves'!$F$12)/('2022 Regression Curves'!$E$12+'2022 Regression Curves'!$F$12))&lt;=($D$7*$D$8),IF(C22&lt;='2022 Regression Curves'!$F$12,('2022 Regression Curves'!$D$12*C22)/('2022 Regression Curves'!$E$12+C22),('2022 Regression Curves'!$D$12*'2022 Regression Curves'!$F$12)/('2022 Regression Curves'!$E$12+'2022 Regression Curves'!$F$12)),($D$7*$D$8))</f>
        <v>0.1106766287270442</v>
      </c>
    </row>
    <row r="23" spans="2:11" s="2" customFormat="1" ht="17.399999999999999" customHeight="1" x14ac:dyDescent="0.3">
      <c r="B23" s="105"/>
      <c r="C23" s="32">
        <v>1500</v>
      </c>
      <c r="D23" s="31">
        <f>IF(IF(C23&lt;='2022 Regression Curves'!$F$5,('2022 Regression Curves'!$D$5*C23)/('2022 Regression Curves'!$E$5+C23),('2022 Regression Curves'!$D$5*'2022 Regression Curves'!$F$5)/('2022 Regression Curves'!$E$5+'2022 Regression Curves'!$F$5))&lt;=($D$7*$D$8),IF(C23&lt;='2022 Regression Curves'!$F$5,('2022 Regression Curves'!$D$5*C23)/('2022 Regression Curves'!$E$5+C23),('2022 Regression Curves'!$D$5*'2022 Regression Curves'!$F$5)/('2022 Regression Curves'!$E$5+'2022 Regression Curves'!$F$5)),($D$7*$D$8))</f>
        <v>0.19600000000000001</v>
      </c>
      <c r="E23" s="31">
        <f>IF(IF(C23&lt;='2022 Regression Curves'!$F$6,('2022 Regression Curves'!$D$6*C23)/('2022 Regression Curves'!$E$6+C23),('2022 Regression Curves'!$D$6*'2022 Regression Curves'!$F$6)/('2022 Regression Curves'!$E$6+'2022 Regression Curves'!$F$6))&lt;=($D$7*$D$8),IF(C23&lt;='2022 Regression Curves'!$F$6,('2022 Regression Curves'!$D$6*C23)/('2022 Regression Curves'!$E$6+C23),('2022 Regression Curves'!$D$6*'2022 Regression Curves'!$F$6)/('2022 Regression Curves'!$E$6+'2022 Regression Curves'!$F$6)),($D$7*$D$8))</f>
        <v>0.12015808360983155</v>
      </c>
      <c r="F23" s="31"/>
      <c r="G23" s="31">
        <f>IF(IF(C23&lt;='2022 Regression Curves'!$F$8,('2022 Regression Curves'!$D$8*C23)/('2022 Regression Curves'!$E$8+C23),('2022 Regression Curves'!$D$8*'2022 Regression Curves'!$F$8)/('2022 Regression Curves'!$E$8+'2022 Regression Curves'!$F$8))&lt;=($D$7*$D$8),IF(C23&lt;='2022 Regression Curves'!$F$8,('2022 Regression Curves'!$D$8*C23)/('2022 Regression Curves'!$E$8+C23),('2022 Regression Curves'!$D$8*'2022 Regression Curves'!$F$8)/('2022 Regression Curves'!$E$8+'2022 Regression Curves'!$F$8)),($D$7*$D$8))</f>
        <v>0.16185779547607462</v>
      </c>
      <c r="H23" s="31">
        <f>IF(IF(C23&lt;='2022 Regression Curves'!$F$9,('2022 Regression Curves'!$D$9*C23)/('2022 Regression Curves'!$E$9+C23),('2022 Regression Curves'!$D$9*'2022 Regression Curves'!$F$9)/('2022 Regression Curves'!$E$9+'2022 Regression Curves'!$F$9))&lt;=($D$7*$D$8),IF(C23&lt;='2022 Regression Curves'!$F$9,('2022 Regression Curves'!$D$9*C23)/('2022 Regression Curves'!$E$9+C23),('2022 Regression Curves'!$D$9*'2022 Regression Curves'!$F$9)/('2022 Regression Curves'!$E$9+'2022 Regression Curves'!$F$9)),($D$7*$D$8))</f>
        <v>0.18727731061317449</v>
      </c>
      <c r="I23" s="31">
        <f>IF(IF(C23&lt;='2022 Regression Curves'!$F$10,('2022 Regression Curves'!$D$10*C23)/('2022 Regression Curves'!$E$10+C23),('2022 Regression Curves'!$D$10*'2022 Regression Curves'!$F$10)/('2022 Regression Curves'!$E$10+'2022 Regression Curves'!$F$10))&lt;=($D$7*$D$8),IF(C23&lt;='2022 Regression Curves'!$F$10,('2022 Regression Curves'!$D$10*C23)/('2022 Regression Curves'!$E$10+C23),('2022 Regression Curves'!$D$10*'2022 Regression Curves'!$F$10)/('2022 Regression Curves'!$E$10+'2022 Regression Curves'!$F$10)),($D$7*$D$8))</f>
        <v>0.14450095339215988</v>
      </c>
      <c r="J23" s="31">
        <f>IF(IF(C23&lt;='2022 Regression Curves'!$F$11,('2022 Regression Curves'!$D$11*C23)/('2022 Regression Curves'!$E$11+C23),('2022 Regression Curves'!$D$11*'2022 Regression Curves'!$F$11)/('2022 Regression Curves'!$E$11+'2022 Regression Curves'!$F$11))&lt;=($D$7*$D$8),IF(C23&lt;='2022 Regression Curves'!$F$11,('2022 Regression Curves'!$D$11*C23)/('2022 Regression Curves'!$E$11+C23),('2022 Regression Curves'!$D$11*'2022 Regression Curves'!$F$11)/('2022 Regression Curves'!$E$11+'2022 Regression Curves'!$F$11)),($D$7*$D$8))</f>
        <v>0.12283684877987748</v>
      </c>
      <c r="K23" s="31">
        <f>IF(IF(C23&lt;='2022 Regression Curves'!$F$12,('2022 Regression Curves'!$D$12*C23)/('2022 Regression Curves'!$E$12+C23),('2022 Regression Curves'!$D$12*'2022 Regression Curves'!$F$12)/('2022 Regression Curves'!$E$12+'2022 Regression Curves'!$F$12))&lt;=($D$7*$D$8),IF(C23&lt;='2022 Regression Curves'!$F$12,('2022 Regression Curves'!$D$12*C23)/('2022 Regression Curves'!$E$12+C23),('2022 Regression Curves'!$D$12*'2022 Regression Curves'!$F$12)/('2022 Regression Curves'!$E$12+'2022 Regression Curves'!$F$12)),($D$7*$D$8))</f>
        <v>0.12414333268063442</v>
      </c>
    </row>
    <row r="24" spans="2:11" s="2" customFormat="1" ht="17.399999999999999" customHeight="1" x14ac:dyDescent="0.3">
      <c r="B24" s="105"/>
      <c r="C24" s="30">
        <v>2000</v>
      </c>
      <c r="D24" s="29">
        <f>IF(IF(C24&lt;='2022 Regression Curves'!$F$5,('2022 Regression Curves'!$D$5*C24)/('2022 Regression Curves'!$E$5+C24),('2022 Regression Curves'!$D$5*'2022 Regression Curves'!$F$5)/('2022 Regression Curves'!$E$5+'2022 Regression Curves'!$F$5))&lt;=($D$7*$D$8),IF(C24&lt;='2022 Regression Curves'!$F$5,('2022 Regression Curves'!$D$5*C24)/('2022 Regression Curves'!$E$5+C24),('2022 Regression Curves'!$D$5*'2022 Regression Curves'!$F$5)/('2022 Regression Curves'!$E$5+'2022 Regression Curves'!$F$5)),($D$7*$D$8))</f>
        <v>0.19600000000000001</v>
      </c>
      <c r="E24" s="29">
        <f>IF(IF(C24&lt;='2022 Regression Curves'!$F$6,('2022 Regression Curves'!$D$6*C24)/('2022 Regression Curves'!$E$6+C24),('2022 Regression Curves'!$D$6*'2022 Regression Curves'!$F$6)/('2022 Regression Curves'!$E$6+'2022 Regression Curves'!$F$6))&lt;=($D$7*$D$8),IF(C24&lt;='2022 Regression Curves'!$F$6,('2022 Regression Curves'!$D$6*C24)/('2022 Regression Curves'!$E$6+C24),('2022 Regression Curves'!$D$6*'2022 Regression Curves'!$F$6)/('2022 Regression Curves'!$E$6+'2022 Regression Curves'!$F$6)),($D$7*$D$8))</f>
        <v>0.13713287426471138</v>
      </c>
      <c r="F24" s="29"/>
      <c r="G24" s="29"/>
      <c r="H24" s="29">
        <f>IF(IF(C24&lt;='2022 Regression Curves'!$F$9,('2022 Regression Curves'!$D$9*C24)/('2022 Regression Curves'!$E$9+C24),('2022 Regression Curves'!$D$9*'2022 Regression Curves'!$F$9)/('2022 Regression Curves'!$E$9+'2022 Regression Curves'!$F$9))&lt;=($D$7*$D$8),IF(C24&lt;='2022 Regression Curves'!$F$9,('2022 Regression Curves'!$D$9*C24)/('2022 Regression Curves'!$E$9+C24),('2022 Regression Curves'!$D$9*'2022 Regression Curves'!$F$9)/('2022 Regression Curves'!$E$9+'2022 Regression Curves'!$F$9)),($D$7*$D$8))</f>
        <v>0.19600000000000001</v>
      </c>
      <c r="I24" s="29">
        <f>IF(IF(C24&lt;='2022 Regression Curves'!$F$10,('2022 Regression Curves'!$D$10*C24)/('2022 Regression Curves'!$E$10+C24),('2022 Regression Curves'!$D$10*'2022 Regression Curves'!$F$10)/('2022 Regression Curves'!$E$10+'2022 Regression Curves'!$F$10))&lt;=($D$7*$D$8),IF(C24&lt;='2022 Regression Curves'!$F$10,('2022 Regression Curves'!$D$10*C24)/('2022 Regression Curves'!$E$10+C24),('2022 Regression Curves'!$D$10*'2022 Regression Curves'!$F$10)/('2022 Regression Curves'!$E$10+'2022 Regression Curves'!$F$10)),($D$7*$D$8))</f>
        <v>0.15269570153301507</v>
      </c>
      <c r="J24" s="29">
        <f>IF(IF(C24&lt;='2022 Regression Curves'!$F$11,('2022 Regression Curves'!$D$11*C24)/('2022 Regression Curves'!$E$11+C24),('2022 Regression Curves'!$D$11*'2022 Regression Curves'!$F$11)/('2022 Regression Curves'!$E$11+'2022 Regression Curves'!$F$11))&lt;=($D$7*$D$8),IF(C24&lt;='2022 Regression Curves'!$F$11,('2022 Regression Curves'!$D$11*C24)/('2022 Regression Curves'!$E$11+C24),('2022 Regression Curves'!$D$11*'2022 Regression Curves'!$F$11)/('2022 Regression Curves'!$E$11+'2022 Regression Curves'!$F$11)),($D$7*$D$8))</f>
        <v>0.12752221676120137</v>
      </c>
      <c r="K24" s="29">
        <f>IF(IF(C24&lt;='2022 Regression Curves'!$F$12,('2022 Regression Curves'!$D$12*C24)/('2022 Regression Curves'!$E$12+C24),('2022 Regression Curves'!$D$12*'2022 Regression Curves'!$F$12)/('2022 Regression Curves'!$E$12+'2022 Regression Curves'!$F$12))&lt;=($D$7*$D$8),IF(C24&lt;='2022 Regression Curves'!$F$12,('2022 Regression Curves'!$D$12*C24)/('2022 Regression Curves'!$E$12+C24),('2022 Regression Curves'!$D$12*'2022 Regression Curves'!$F$12)/('2022 Regression Curves'!$E$12+'2022 Regression Curves'!$F$12)),($D$7*$D$8))</f>
        <v>0.146411869984412</v>
      </c>
    </row>
    <row r="25" spans="2:11" s="2" customFormat="1" ht="17.399999999999999" customHeight="1" x14ac:dyDescent="0.3">
      <c r="B25" s="105"/>
      <c r="C25" s="32">
        <v>2500</v>
      </c>
      <c r="D25" s="31"/>
      <c r="E25" s="31">
        <f>IF(IF(C25&lt;='2022 Regression Curves'!$F$6,('2022 Regression Curves'!$D$6*C25)/('2022 Regression Curves'!$E$6+C25),('2022 Regression Curves'!$D$6*'2022 Regression Curves'!$F$6)/('2022 Regression Curves'!$E$6+'2022 Regression Curves'!$F$6))&lt;=($D$7*$D$8),IF(C25&lt;='2022 Regression Curves'!$F$6,('2022 Regression Curves'!$D$6*C25)/('2022 Regression Curves'!$E$6+C25),('2022 Regression Curves'!$D$6*'2022 Regression Curves'!$F$6)/('2022 Regression Curves'!$E$6+'2022 Regression Curves'!$F$6)),($D$7*$D$8))</f>
        <v>0.14983306833445562</v>
      </c>
      <c r="F25" s="31"/>
      <c r="G25" s="31"/>
      <c r="H25" s="31"/>
      <c r="I25" s="31"/>
      <c r="J25" s="31">
        <f>IF(IF(C25&lt;='2022 Regression Curves'!$F$11,('2022 Regression Curves'!$D$11*C25)/('2022 Regression Curves'!$E$11+C25),('2022 Regression Curves'!$D$11*'2022 Regression Curves'!$F$11)/('2022 Regression Curves'!$E$11+'2022 Regression Curves'!$F$11))&lt;=($D$7*$D$8),IF(C25&lt;='2022 Regression Curves'!$F$11,('2022 Regression Curves'!$D$11*C25)/('2022 Regression Curves'!$E$11+C25),('2022 Regression Curves'!$D$11*'2022 Regression Curves'!$F$11)/('2022 Regression Curves'!$E$11+'2022 Regression Curves'!$F$11)),($D$7*$D$8))</f>
        <v>0.13050902143610679</v>
      </c>
      <c r="K25" s="31"/>
    </row>
    <row r="26" spans="2:11" s="2" customFormat="1" ht="17.399999999999999" customHeight="1" x14ac:dyDescent="0.3">
      <c r="B26" s="105"/>
      <c r="C26" s="30">
        <v>3000</v>
      </c>
      <c r="D26" s="29"/>
      <c r="E26" s="29">
        <f>IF(IF(C26&lt;='2022 Regression Curves'!$F$6,('2022 Regression Curves'!$D$6*C26)/('2022 Regression Curves'!$E$6+C26),('2022 Regression Curves'!$D$6*'2022 Regression Curves'!$F$6)/('2022 Regression Curves'!$E$6+'2022 Regression Curves'!$F$6))&lt;=($D$7*$D$8),IF(C26&lt;='2022 Regression Curves'!$F$6,('2022 Regression Curves'!$D$6*C26)/('2022 Regression Curves'!$E$6+C26),('2022 Regression Curves'!$D$6*'2022 Regression Curves'!$F$6)/('2022 Regression Curves'!$E$6+'2022 Regression Curves'!$F$6)),($D$7*$D$8))</f>
        <v>0.15969274578927803</v>
      </c>
      <c r="F26" s="29"/>
      <c r="G26" s="29"/>
      <c r="H26" s="29"/>
      <c r="I26" s="29"/>
      <c r="J26" s="29"/>
      <c r="K26" s="29"/>
    </row>
    <row r="27" spans="2:11" s="2" customFormat="1" ht="17.399999999999999" customHeight="1" x14ac:dyDescent="0.3">
      <c r="B27" s="105"/>
      <c r="C27" s="32">
        <v>3500</v>
      </c>
      <c r="D27" s="31"/>
      <c r="E27" s="31">
        <f>IF(IF(C27&lt;='2022 Regression Curves'!$F$6,('2022 Regression Curves'!$D$6*C27)/('2022 Regression Curves'!$E$6+C27),('2022 Regression Curves'!$D$6*'2022 Regression Curves'!$F$6)/('2022 Regression Curves'!$E$6+'2022 Regression Curves'!$F$6))&lt;=($D$7*$D$8),IF(C27&lt;='2022 Regression Curves'!$F$6,('2022 Regression Curves'!$D$6*C27)/('2022 Regression Curves'!$E$6+C27),('2022 Regression Curves'!$D$6*'2022 Regression Curves'!$F$6)/('2022 Regression Curves'!$E$6+'2022 Regression Curves'!$F$6)),($D$7*$D$8))</f>
        <v>0.16756901811797259</v>
      </c>
      <c r="F27" s="31"/>
      <c r="G27" s="31"/>
      <c r="H27" s="31"/>
      <c r="I27" s="31"/>
      <c r="J27" s="31"/>
      <c r="K27" s="31"/>
    </row>
    <row r="28" spans="2:11" s="2" customFormat="1" ht="17.399999999999999" customHeight="1" thickBot="1" x14ac:dyDescent="0.35">
      <c r="B28" s="106"/>
      <c r="C28" s="46">
        <v>4000</v>
      </c>
      <c r="D28" s="47"/>
      <c r="E28" s="47">
        <f>IF(IF(C28&lt;='2022 Regression Curves'!$F$6,('2022 Regression Curves'!$D$6*C28)/('2022 Regression Curves'!$E$6+C28),('2022 Regression Curves'!$D$6*'2022 Regression Curves'!$F$6)/('2022 Regression Curves'!$E$6+'2022 Regression Curves'!$F$6))&lt;=($D$7*$D$8),IF(C28&lt;='2022 Regression Curves'!$F$6,('2022 Regression Curves'!$D$6*C28)/('2022 Regression Curves'!$E$6+C28),('2022 Regression Curves'!$D$6*'2022 Regression Curves'!$F$6)/('2022 Regression Curves'!$E$6+'2022 Regression Curves'!$F$6)),($D$7*$D$8))</f>
        <v>0.17400567273115428</v>
      </c>
      <c r="F28" s="47"/>
      <c r="G28" s="47"/>
      <c r="H28" s="47"/>
      <c r="I28" s="47"/>
      <c r="J28" s="47"/>
      <c r="K28" s="47"/>
    </row>
    <row r="29" spans="2:11" s="2" customFormat="1" ht="20.100000000000001" customHeight="1" x14ac:dyDescent="0.3">
      <c r="B29" s="104" t="s">
        <v>23</v>
      </c>
      <c r="C29" s="48">
        <v>250</v>
      </c>
      <c r="D29" s="45">
        <f>IF(IF(C29&lt;='2022 Regression Curves'!$F$5,('2022 Regression Curves'!$B$5*C29)/('2022 Regression Curves'!$C$5+C29),('2022 Regression Curves'!$B$5*'2022 Regression Curves'!$F$5)/('2022 Regression Curves'!$C$5+'2022 Regression Curves'!$F$5))&lt;=($D$7*$D$8/0.88),IF(C29&lt;='2022 Regression Curves'!$F$5,('2022 Regression Curves'!$B$5*C29)/('2022 Regression Curves'!$C$5+C29),('2022 Regression Curves'!$B$5*'2022 Regression Curves'!$F$5)/('2022 Regression Curves'!$C$5+'2022 Regression Curves'!$F$5)),($D$7*$D$8/0.88))</f>
        <v>0.11295404152932355</v>
      </c>
      <c r="E29" s="45">
        <f>IF(IF(C29&lt;='2022 Regression Curves'!$F$6,('2022 Regression Curves'!$B$6*C29)/('2022 Regression Curves'!$C$6+C29),('2022 Regression Curves'!$B$6*'2022 Regression Curves'!$F$6)/('2022 Regression Curves'!$C$6+'2022 Regression Curves'!$F$6))&lt;=($D$7*$D$8/0.88),IF(C29&lt;='2022 Regression Curves'!$F$6,('2022 Regression Curves'!$B$6*C29)/('2022 Regression Curves'!$C$6+C29),('2022 Regression Curves'!$B$6*'2022 Regression Curves'!$F$6)/('2022 Regression Curves'!$C$6+'2022 Regression Curves'!$F$6)),($D$7*$D$8/0.88))</f>
        <v>3.9364680207729305E-2</v>
      </c>
      <c r="F29" s="45">
        <f>IF(IF(C29&lt;='2022 Regression Curves'!$F$7,('2022 Regression Curves'!$B$7*C29)/('2022 Regression Curves'!$C$7+C29),('2022 Regression Curves'!$B$7*'2022 Regression Curves'!$F$7)/('2022 Regression Curves'!$C$7+'2022 Regression Curves'!$F$7))&lt;=($D$7*$D$8/0.88),IF(C29&lt;='2022 Regression Curves'!$F$7,('2022 Regression Curves'!$B$7*C29)/('2022 Regression Curves'!$C$7+C29),('2022 Regression Curves'!$B$7*'2022 Regression Curves'!$F$7)/('2022 Regression Curves'!$C$7+'2022 Regression Curves'!$F$7)),($D$7*$D$8/0.88))</f>
        <v>8.7315733693034012E-2</v>
      </c>
      <c r="G29" s="45">
        <f>IF(IF(C29&lt;='2022 Regression Curves'!$F$8,('2022 Regression Curves'!$B$8*C29)/('2022 Regression Curves'!$C$8+C29),('2022 Regression Curves'!$B$8*'2022 Regression Curves'!$F$8)/('2022 Regression Curves'!$C$8+'2022 Regression Curves'!$F$8))&lt;=($D$7*$D$8/0.88),IF(C29&lt;='2022 Regression Curves'!$F$8,('2022 Regression Curves'!$B$8*C29)/('2022 Regression Curves'!$C$8+C29),('2022 Regression Curves'!$B$8*'2022 Regression Curves'!$F$8)/('2022 Regression Curves'!$C$8+'2022 Regression Curves'!$F$8)),($D$7*$D$8/0.88))</f>
        <v>8.705907140892305E-2</v>
      </c>
      <c r="H29" s="45">
        <f>IF(IF(C29&lt;='2022 Regression Curves'!$F$9,('2022 Regression Curves'!$B$9*C29)/('2022 Regression Curves'!$C$9+C29),('2022 Regression Curves'!$B$9*'2022 Regression Curves'!$F$9)/('2022 Regression Curves'!$C$9+'2022 Regression Curves'!$F$9))&lt;=($D$7*$D$8/0.88),IF(C29&lt;='2022 Regression Curves'!$F$9,('2022 Regression Curves'!$B$9*C29)/('2022 Regression Curves'!$C$9+C29),('2022 Regression Curves'!$B$9*'2022 Regression Curves'!$F$9)/('2022 Regression Curves'!$C$9+'2022 Regression Curves'!$F$9)),($D$7*$D$8/0.88))</f>
        <v>0.10464743965200822</v>
      </c>
      <c r="I29" s="45">
        <f>IF(IF(C29&lt;='2022 Regression Curves'!$F$10,('2022 Regression Curves'!$B$10*C29)/('2022 Regression Curves'!$C$10+C29),('2022 Regression Curves'!$B$10*'2022 Regression Curves'!$F$10)/('2022 Regression Curves'!$C$10+'2022 Regression Curves'!$F$10))&lt;=($D$7*$D$8/0.88),IF(C29&lt;='2022 Regression Curves'!$F$10,('2022 Regression Curves'!$B$10*C29)/('2022 Regression Curves'!$C$10+C29),('2022 Regression Curves'!$B$10*'2022 Regression Curves'!$F$10)/('2022 Regression Curves'!$C$10+'2022 Regression Curves'!$F$10)),($D$7*$D$8/0.88))</f>
        <v>7.9163907924420809E-2</v>
      </c>
      <c r="J29" s="45">
        <f>IF(IF(C29&lt;='2022 Regression Curves'!$F$11,('2022 Regression Curves'!$B$11*C29)/('2022 Regression Curves'!$C$11+C29),('2022 Regression Curves'!$B$11*'2022 Regression Curves'!$F$11)/('2022 Regression Curves'!$C$11+'2022 Regression Curves'!$F$11))&lt;=($D$7*$D$8/0.88),IF(C29&lt;='2022 Regression Curves'!$F$11,('2022 Regression Curves'!$B$11*C29)/('2022 Regression Curves'!$C$11+C29),('2022 Regression Curves'!$B$11*'2022 Regression Curves'!$F$11)/('2022 Regression Curves'!$C$11+'2022 Regression Curves'!$F$11)),($D$7*$D$8/0.88))</f>
        <v>8.0640402808646219E-2</v>
      </c>
      <c r="K29" s="45">
        <f>IF(IF(C29&lt;='2022 Regression Curves'!$F$12,('2022 Regression Curves'!$B$12*C29)/('2022 Regression Curves'!$C$12+C29),('2022 Regression Curves'!$B$12*'2022 Regression Curves'!$F$12)/('2022 Regression Curves'!$C$12+'2022 Regression Curves'!$F$12))&lt;=($D$7*$D$8/0.88),IF(C29&lt;='2022 Regression Curves'!$F$12,('2022 Regression Curves'!$B$12*C29)/('2022 Regression Curves'!$C$12+C29),('2022 Regression Curves'!$B$12*'2022 Regression Curves'!$F$12)/('2022 Regression Curves'!$C$12+'2022 Regression Curves'!$F$12)),($D$7*$D$8/0.88))</f>
        <v>3.4880341052223623E-2</v>
      </c>
    </row>
    <row r="30" spans="2:11" s="2" customFormat="1" ht="20.100000000000001" customHeight="1" x14ac:dyDescent="0.3">
      <c r="B30" s="105"/>
      <c r="C30" s="30">
        <v>300</v>
      </c>
      <c r="D30" s="29">
        <f>IF(IF(C30&lt;='2022 Regression Curves'!$F$5,('2022 Regression Curves'!$B$5*C30)/('2022 Regression Curves'!$C$5+C30),('2022 Regression Curves'!$B$5*'2022 Regression Curves'!$F$5)/('2022 Regression Curves'!$C$5+'2022 Regression Curves'!$F$5))&lt;=($D$7*$D$8/0.88),IF(C30&lt;='2022 Regression Curves'!$F$5,('2022 Regression Curves'!$B$5*C30)/('2022 Regression Curves'!$C$5+C30),('2022 Regression Curves'!$B$5*'2022 Regression Curves'!$F$5)/('2022 Regression Curves'!$C$5+'2022 Regression Curves'!$F$5)),($D$7*$D$8/0.88))</f>
        <v>0.12698180053875663</v>
      </c>
      <c r="E30" s="29">
        <f>IF(IF(C30&lt;='2022 Regression Curves'!$F$6,('2022 Regression Curves'!$B$6*C30)/('2022 Regression Curves'!$C$6+C30),('2022 Regression Curves'!$B$6*'2022 Regression Curves'!$F$6)/('2022 Regression Curves'!$C$6+'2022 Regression Curves'!$F$6))&lt;=($D$7*$D$8/0.88),IF(C30&lt;='2022 Regression Curves'!$F$6,('2022 Regression Curves'!$B$6*C30)/('2022 Regression Curves'!$C$6+C30),('2022 Regression Curves'!$B$6*'2022 Regression Curves'!$F$6)/('2022 Regression Curves'!$C$6+'2022 Regression Curves'!$F$6)),($D$7*$D$8/0.88))</f>
        <v>4.590403853906587E-2</v>
      </c>
      <c r="F30" s="29">
        <f>IF(IF(C30&lt;='2022 Regression Curves'!$F$7,('2022 Regression Curves'!$B$7*C30)/('2022 Regression Curves'!$C$7+C30),('2022 Regression Curves'!$B$7*'2022 Regression Curves'!$F$7)/('2022 Regression Curves'!$C$7+'2022 Regression Curves'!$F$7))&lt;=($D$7*$D$8/0.88),IF(C30&lt;='2022 Regression Curves'!$F$7,('2022 Regression Curves'!$B$7*C30)/('2022 Regression Curves'!$C$7+C30),('2022 Regression Curves'!$B$7*'2022 Regression Curves'!$F$7)/('2022 Regression Curves'!$C$7+'2022 Regression Curves'!$F$7)),($D$7*$D$8/0.88))</f>
        <v>9.9340635613981182E-2</v>
      </c>
      <c r="G30" s="29">
        <f>IF(IF(C30&lt;='2022 Regression Curves'!$F$8,('2022 Regression Curves'!$B$8*C30)/('2022 Regression Curves'!$C$8+C30),('2022 Regression Curves'!$B$8*'2022 Regression Curves'!$F$8)/('2022 Regression Curves'!$C$8+'2022 Regression Curves'!$F$8))&lt;=($D$7*$D$8/0.88),IF(C30&lt;='2022 Regression Curves'!$F$8,('2022 Regression Curves'!$B$8*C30)/('2022 Regression Curves'!$C$8+C30),('2022 Regression Curves'!$B$8*'2022 Regression Curves'!$F$8)/('2022 Regression Curves'!$C$8+'2022 Regression Curves'!$F$8)),($D$7*$D$8/0.88))</f>
        <v>9.7348945522766558E-2</v>
      </c>
      <c r="H30" s="29">
        <f>IF(IF(C30&lt;='2022 Regression Curves'!$F$9,('2022 Regression Curves'!$B$9*C30)/('2022 Regression Curves'!$C$9+C30),('2022 Regression Curves'!$B$9*'2022 Regression Curves'!$F$9)/('2022 Regression Curves'!$C$9+'2022 Regression Curves'!$F$9))&lt;=($D$7*$D$8/0.88),IF(C30&lt;='2022 Regression Curves'!$F$9,('2022 Regression Curves'!$B$9*C30)/('2022 Regression Curves'!$C$9+C30),('2022 Regression Curves'!$B$9*'2022 Regression Curves'!$F$9)/('2022 Regression Curves'!$C$9+'2022 Regression Curves'!$F$9)),($D$7*$D$8/0.88))</f>
        <v>0.11648038015487255</v>
      </c>
      <c r="I30" s="29">
        <f>IF(IF(C30&lt;='2022 Regression Curves'!$F$10,('2022 Regression Curves'!$B$10*C30)/('2022 Regression Curves'!$C$10+C30),('2022 Regression Curves'!$B$10*'2022 Regression Curves'!$F$10)/('2022 Regression Curves'!$C$10+'2022 Regression Curves'!$F$10))&lt;=($D$7*$D$8/0.88),IF(C30&lt;='2022 Regression Curves'!$F$10,('2022 Regression Curves'!$B$10*C30)/('2022 Regression Curves'!$C$10+C30),('2022 Regression Curves'!$B$10*'2022 Regression Curves'!$F$10)/('2022 Regression Curves'!$C$10+'2022 Regression Curves'!$F$10)),($D$7*$D$8/0.88))</f>
        <v>8.8306998505682202E-2</v>
      </c>
      <c r="J30" s="29">
        <f>IF(IF(C30&lt;='2022 Regression Curves'!$F$11,('2022 Regression Curves'!$B$11*C30)/('2022 Regression Curves'!$C$11+C30),('2022 Regression Curves'!$B$11*'2022 Regression Curves'!$F$11)/('2022 Regression Curves'!$C$11+'2022 Regression Curves'!$F$11))&lt;=($D$7*$D$8/0.88),IF(C30&lt;='2022 Regression Curves'!$F$11,('2022 Regression Curves'!$B$11*C30)/('2022 Regression Curves'!$C$11+C30),('2022 Regression Curves'!$B$11*'2022 Regression Curves'!$F$11)/('2022 Regression Curves'!$C$11+'2022 Regression Curves'!$F$11)),($D$7*$D$8/0.88))</f>
        <v>8.8104149132389009E-2</v>
      </c>
      <c r="K30" s="29">
        <f>IF(IF(C30&lt;='2022 Regression Curves'!$F$12,('2022 Regression Curves'!$B$12*C30)/('2022 Regression Curves'!$C$12+C30),('2022 Regression Curves'!$B$12*'2022 Regression Curves'!$F$12)/('2022 Regression Curves'!$C$12+'2022 Regression Curves'!$F$12))&lt;=($D$7*$D$8/0.88),IF(C30&lt;='2022 Regression Curves'!$F$12,('2022 Regression Curves'!$B$12*C30)/('2022 Regression Curves'!$C$12+C30),('2022 Regression Curves'!$B$12*'2022 Regression Curves'!$F$12)/('2022 Regression Curves'!$C$12+'2022 Regression Curves'!$F$12)),($D$7*$D$8/0.88))</f>
        <v>4.1060735671514116E-2</v>
      </c>
    </row>
    <row r="31" spans="2:11" s="2" customFormat="1" ht="20.100000000000001" customHeight="1" x14ac:dyDescent="0.3">
      <c r="B31" s="105"/>
      <c r="C31" s="32">
        <v>400</v>
      </c>
      <c r="D31" s="31">
        <f>IF(IF(C31&lt;='2022 Regression Curves'!$F$5,('2022 Regression Curves'!$B$5*C31)/('2022 Regression Curves'!$C$5+C31),('2022 Regression Curves'!$B$5*'2022 Regression Curves'!$F$5)/('2022 Regression Curves'!$C$5+'2022 Regression Curves'!$F$5))&lt;=($D$7*$D$8/0.88),IF(C31&lt;='2022 Regression Curves'!$F$5,('2022 Regression Curves'!$B$5*C31)/('2022 Regression Curves'!$C$5+C31),('2022 Regression Curves'!$B$5*'2022 Regression Curves'!$F$5)/('2022 Regression Curves'!$C$5+'2022 Regression Curves'!$F$5)),($D$7*$D$8/0.88))</f>
        <v>0.15031656219291673</v>
      </c>
      <c r="E31" s="31">
        <f>IF(IF(C31&lt;='2022 Regression Curves'!$F$6,('2022 Regression Curves'!$B$6*C31)/('2022 Regression Curves'!$C$6+C31),('2022 Regression Curves'!$B$6*'2022 Regression Curves'!$F$6)/('2022 Regression Curves'!$C$6+'2022 Regression Curves'!$F$6))&lt;=($D$7*$D$8/0.88),IF(C31&lt;='2022 Regression Curves'!$F$6,('2022 Regression Curves'!$B$6*C31)/('2022 Regression Curves'!$C$6+C31),('2022 Regression Curves'!$B$6*'2022 Regression Curves'!$F$6)/('2022 Regression Curves'!$C$6+'2022 Regression Curves'!$F$6)),($D$7*$D$8/0.88))</f>
        <v>5.7934269189123325E-2</v>
      </c>
      <c r="F31" s="31">
        <f>IF(IF(C31&lt;='2022 Regression Curves'!$F$7,('2022 Regression Curves'!$B$7*C31)/('2022 Regression Curves'!$C$7+C31),('2022 Regression Curves'!$B$7*'2022 Regression Curves'!$F$7)/('2022 Regression Curves'!$C$7+'2022 Regression Curves'!$F$7))&lt;=($D$7*$D$8/0.88),IF(C31&lt;='2022 Regression Curves'!$F$7,('2022 Regression Curves'!$B$7*C31)/('2022 Regression Curves'!$C$7+C31),('2022 Regression Curves'!$B$7*'2022 Regression Curves'!$F$7)/('2022 Regression Curves'!$C$7+'2022 Regression Curves'!$F$7)),($D$7*$D$8/0.88))</f>
        <v>0.11999789345390804</v>
      </c>
      <c r="G31" s="31">
        <f>IF(IF(C31&lt;='2022 Regression Curves'!$F$8,('2022 Regression Curves'!$B$8*C31)/('2022 Regression Curves'!$C$8+C31),('2022 Regression Curves'!$B$8*'2022 Regression Curves'!$F$8)/('2022 Regression Curves'!$C$8+'2022 Regression Curves'!$F$8))&lt;=($D$7*$D$8/0.88),IF(C31&lt;='2022 Regression Curves'!$F$8,('2022 Regression Curves'!$B$8*C31)/('2022 Regression Curves'!$C$8+C31),('2022 Regression Curves'!$B$8*'2022 Regression Curves'!$F$8)/('2022 Regression Curves'!$C$8+'2022 Regression Curves'!$F$8)),($D$7*$D$8/0.88))</f>
        <v>0.11422483094245084</v>
      </c>
      <c r="H31" s="31">
        <f>IF(IF(C31&lt;='2022 Regression Curves'!$F$9,('2022 Regression Curves'!$B$9*C31)/('2022 Regression Curves'!$C$9+C31),('2022 Regression Curves'!$B$9*'2022 Regression Curves'!$F$9)/('2022 Regression Curves'!$C$9+'2022 Regression Curves'!$F$9))&lt;=($D$7*$D$8/0.88),IF(C31&lt;='2022 Regression Curves'!$F$9,('2022 Regression Curves'!$B$9*C31)/('2022 Regression Curves'!$C$9+C31),('2022 Regression Curves'!$B$9*'2022 Regression Curves'!$F$9)/('2022 Regression Curves'!$C$9+'2022 Regression Curves'!$F$9)),($D$7*$D$8/0.88))</f>
        <v>0.13565413257913686</v>
      </c>
      <c r="I31" s="31">
        <f>IF(IF(C31&lt;='2022 Regression Curves'!$F$10,('2022 Regression Curves'!$B$10*C31)/('2022 Regression Curves'!$C$10+C31),('2022 Regression Curves'!$B$10*'2022 Regression Curves'!$F$10)/('2022 Regression Curves'!$C$10+'2022 Regression Curves'!$F$10))&lt;=($D$7*$D$8/0.88),IF(C31&lt;='2022 Regression Curves'!$F$10,('2022 Regression Curves'!$B$10*C31)/('2022 Regression Curves'!$C$10+C31),('2022 Regression Curves'!$B$10*'2022 Regression Curves'!$F$10)/('2022 Regression Curves'!$C$10+'2022 Regression Curves'!$F$10)),($D$7*$D$8/0.88))</f>
        <v>0.10320694597560809</v>
      </c>
      <c r="J31" s="31">
        <f>IF(IF(C31&lt;='2022 Regression Curves'!$F$11,('2022 Regression Curves'!$B$11*C31)/('2022 Regression Curves'!$C$11+C31),('2022 Regression Curves'!$B$11*'2022 Regression Curves'!$F$11)/('2022 Regression Curves'!$C$11+'2022 Regression Curves'!$F$11))&lt;=($D$7*$D$8/0.88),IF(C31&lt;='2022 Regression Curves'!$F$11,('2022 Regression Curves'!$B$11*C31)/('2022 Regression Curves'!$C$11+C31),('2022 Regression Curves'!$B$11*'2022 Regression Curves'!$F$11)/('2022 Regression Curves'!$C$11+'2022 Regression Curves'!$F$11)),($D$7*$D$8/0.88))</f>
        <v>9.9630940266998771E-2</v>
      </c>
      <c r="K31" s="31">
        <f>IF(IF(C31&lt;='2022 Regression Curves'!$F$12,('2022 Regression Curves'!$B$12*C31)/('2022 Regression Curves'!$C$12+C31),('2022 Regression Curves'!$B$12*'2022 Regression Curves'!$F$12)/('2022 Regression Curves'!$C$12+'2022 Regression Curves'!$F$12))&lt;=($D$7*$D$8/0.88),IF(C31&lt;='2022 Regression Curves'!$F$12,('2022 Regression Curves'!$B$12*C31)/('2022 Regression Curves'!$C$12+C31),('2022 Regression Curves'!$B$12*'2022 Regression Curves'!$F$12)/('2022 Regression Curves'!$C$12+'2022 Regression Curves'!$F$12)),($D$7*$D$8/0.88))</f>
        <v>5.2742422855049903E-2</v>
      </c>
    </row>
    <row r="32" spans="2:11" s="2" customFormat="1" ht="20.100000000000001" customHeight="1" x14ac:dyDescent="0.3">
      <c r="B32" s="105"/>
      <c r="C32" s="30">
        <v>500</v>
      </c>
      <c r="D32" s="29">
        <f>IF(IF(C32&lt;='2022 Regression Curves'!$F$5,('2022 Regression Curves'!$B$5*C32)/('2022 Regression Curves'!$C$5+C32),('2022 Regression Curves'!$B$5*'2022 Regression Curves'!$F$5)/('2022 Regression Curves'!$C$5+'2022 Regression Curves'!$F$5))&lt;=($D$7*$D$8/0.88),IF(C32&lt;='2022 Regression Curves'!$F$5,('2022 Regression Curves'!$B$5*C32)/('2022 Regression Curves'!$C$5+C32),('2022 Regression Curves'!$B$5*'2022 Regression Curves'!$F$5)/('2022 Regression Curves'!$C$5+'2022 Regression Curves'!$F$5)),($D$7*$D$8/0.88))</f>
        <v>0.16894413446137585</v>
      </c>
      <c r="E32" s="29">
        <f>IF(IF(C32&lt;='2022 Regression Curves'!$F$6,('2022 Regression Curves'!$B$6*C32)/('2022 Regression Curves'!$C$6+C32),('2022 Regression Curves'!$B$6*'2022 Regression Curves'!$F$6)/('2022 Regression Curves'!$C$6+'2022 Regression Curves'!$F$6))&lt;=($D$7*$D$8/0.88),IF(C32&lt;='2022 Regression Curves'!$F$6,('2022 Regression Curves'!$B$6*C32)/('2022 Regression Curves'!$C$6+C32),('2022 Regression Curves'!$B$6*'2022 Regression Curves'!$F$6)/('2022 Regression Curves'!$C$6+'2022 Regression Curves'!$F$6)),($D$7*$D$8/0.88))</f>
        <v>6.8743829543713469E-2</v>
      </c>
      <c r="F32" s="29">
        <f>IF(IF(C32&lt;='2022 Regression Curves'!$F$7,('2022 Regression Curves'!$B$7*C32)/('2022 Regression Curves'!$C$7+C32),('2022 Regression Curves'!$B$7*'2022 Regression Curves'!$F$7)/('2022 Regression Curves'!$C$7+'2022 Regression Curves'!$F$7))&lt;=($D$7*$D$8/0.88),IF(C32&lt;='2022 Regression Curves'!$F$7,('2022 Regression Curves'!$B$7*C32)/('2022 Regression Curves'!$C$7+C32),('2022 Regression Curves'!$B$7*'2022 Regression Curves'!$F$7)/('2022 Regression Curves'!$C$7+'2022 Regression Curves'!$F$7)),($D$7*$D$8/0.88))</f>
        <v>0.13710381724533935</v>
      </c>
      <c r="G32" s="29">
        <f>IF(IF(C32&lt;='2022 Regression Curves'!$F$8,('2022 Regression Curves'!$B$8*C32)/('2022 Regression Curves'!$C$8+C32),('2022 Regression Curves'!$B$8*'2022 Regression Curves'!$F$8)/('2022 Regression Curves'!$C$8+'2022 Regression Curves'!$F$8))&lt;=($D$7*$D$8/0.88),IF(C32&lt;='2022 Regression Curves'!$F$8,('2022 Regression Curves'!$B$8*C32)/('2022 Regression Curves'!$C$8+C32),('2022 Regression Curves'!$B$8*'2022 Regression Curves'!$F$8)/('2022 Regression Curves'!$C$8+'2022 Regression Curves'!$F$8)),($D$7*$D$8/0.88))</f>
        <v>0.12748488393519056</v>
      </c>
      <c r="H32" s="29">
        <f>IF(IF(C32&lt;='2022 Regression Curves'!$F$9,('2022 Regression Curves'!$B$9*C32)/('2022 Regression Curves'!$C$9+C32),('2022 Regression Curves'!$B$9*'2022 Regression Curves'!$F$9)/('2022 Regression Curves'!$C$9+'2022 Regression Curves'!$F$9))&lt;=($D$7*$D$8/0.88),IF(C32&lt;='2022 Regression Curves'!$F$9,('2022 Regression Curves'!$B$9*C32)/('2022 Regression Curves'!$C$9+C32),('2022 Regression Curves'!$B$9*'2022 Regression Curves'!$F$9)/('2022 Regression Curves'!$C$9+'2022 Regression Curves'!$F$9)),($D$7*$D$8/0.88))</f>
        <v>0.15052036237215599</v>
      </c>
      <c r="I32" s="29">
        <f>IF(IF(C32&lt;='2022 Regression Curves'!$F$10,('2022 Regression Curves'!$B$10*C32)/('2022 Regression Curves'!$C$10+C32),('2022 Regression Curves'!$B$10*'2022 Regression Curves'!$F$10)/('2022 Regression Curves'!$C$10+'2022 Regression Curves'!$F$10))&lt;=($D$7*$D$8/0.88),IF(C32&lt;='2022 Regression Curves'!$F$10,('2022 Regression Curves'!$B$10*C32)/('2022 Regression Curves'!$C$10+C32),('2022 Regression Curves'!$B$10*'2022 Regression Curves'!$F$10)/('2022 Regression Curves'!$C$10+'2022 Regression Curves'!$F$10)),($D$7*$D$8/0.88))</f>
        <v>0.11483226248127794</v>
      </c>
      <c r="J32" s="29">
        <f>IF(IF(C32&lt;='2022 Regression Curves'!$F$11,('2022 Regression Curves'!$B$11*C32)/('2022 Regression Curves'!$C$11+C32),('2022 Regression Curves'!$B$11*'2022 Regression Curves'!$F$11)/('2022 Regression Curves'!$C$11+'2022 Regression Curves'!$F$11))&lt;=($D$7*$D$8/0.88),IF(C32&lt;='2022 Regression Curves'!$F$11,('2022 Regression Curves'!$B$11*C32)/('2022 Regression Curves'!$C$11+C32),('2022 Regression Curves'!$B$11*'2022 Regression Curves'!$F$11)/('2022 Regression Curves'!$C$11+'2022 Regression Curves'!$F$11)),($D$7*$D$8/0.88))</f>
        <v>0.10811808604617433</v>
      </c>
      <c r="K32" s="29">
        <f>IF(IF(C32&lt;='2022 Regression Curves'!$F$12,('2022 Regression Curves'!$B$12*C32)/('2022 Regression Curves'!$C$12+C32),('2022 Regression Curves'!$B$12*'2022 Regression Curves'!$F$12)/('2022 Regression Curves'!$C$12+'2022 Regression Curves'!$F$12))&lt;=($D$7*$D$8/0.88),IF(C32&lt;='2022 Regression Curves'!$F$12,('2022 Regression Curves'!$B$12*C32)/('2022 Regression Curves'!$C$12+C32),('2022 Regression Curves'!$B$12*'2022 Regression Curves'!$F$12)/('2022 Regression Curves'!$C$12+'2022 Regression Curves'!$F$12)),($D$7*$D$8/0.88))</f>
        <v>6.3598622029856014E-2</v>
      </c>
    </row>
    <row r="33" spans="2:11" s="2" customFormat="1" ht="20.100000000000001" customHeight="1" x14ac:dyDescent="0.3">
      <c r="B33" s="105"/>
      <c r="C33" s="32">
        <v>600</v>
      </c>
      <c r="D33" s="31">
        <f>IF(IF(C33&lt;='2022 Regression Curves'!$F$5,('2022 Regression Curves'!$B$5*C33)/('2022 Regression Curves'!$C$5+C33),('2022 Regression Curves'!$B$5*'2022 Regression Curves'!$F$5)/('2022 Regression Curves'!$C$5+'2022 Regression Curves'!$F$5))&lt;=($D$7*$D$8/0.88),IF(C33&lt;='2022 Regression Curves'!$F$5,('2022 Regression Curves'!$B$5*C33)/('2022 Regression Curves'!$C$5+C33),('2022 Regression Curves'!$B$5*'2022 Regression Curves'!$F$5)/('2022 Regression Curves'!$C$5+'2022 Regression Curves'!$F$5)),($D$7*$D$8/0.88))</f>
        <v>0.18415835052755411</v>
      </c>
      <c r="E33" s="31">
        <f>IF(IF(C33&lt;='2022 Regression Curves'!$F$6,('2022 Regression Curves'!$B$6*C33)/('2022 Regression Curves'!$C$6+C33),('2022 Regression Curves'!$B$6*'2022 Regression Curves'!$F$6)/('2022 Regression Curves'!$C$6+'2022 Regression Curves'!$F$6))&lt;=($D$7*$D$8/0.88),IF(C33&lt;='2022 Regression Curves'!$F$6,('2022 Regression Curves'!$B$6*C33)/('2022 Regression Curves'!$C$6+C33),('2022 Regression Curves'!$B$6*'2022 Regression Curves'!$F$6)/('2022 Regression Curves'!$C$6+'2022 Regression Curves'!$F$6)),($D$7*$D$8/0.88))</f>
        <v>7.8509535576987144E-2</v>
      </c>
      <c r="F33" s="31">
        <f>IF(IF(C33&lt;='2022 Regression Curves'!$F$7,('2022 Regression Curves'!$B$7*C33)/('2022 Regression Curves'!$C$7+C33),('2022 Regression Curves'!$B$7*'2022 Regression Curves'!$F$7)/('2022 Regression Curves'!$C$7+'2022 Regression Curves'!$F$7))&lt;=($D$7*$D$8/0.88),IF(C33&lt;='2022 Regression Curves'!$F$7,('2022 Regression Curves'!$B$7*C33)/('2022 Regression Curves'!$C$7+C33),('2022 Regression Curves'!$B$7*'2022 Regression Curves'!$F$7)/('2022 Regression Curves'!$C$7+'2022 Regression Curves'!$F$7)),($D$7*$D$8/0.88))</f>
        <v>0.15150171923581079</v>
      </c>
      <c r="G33" s="31">
        <f>IF(IF(C33&lt;='2022 Regression Curves'!$F$8,('2022 Regression Curves'!$B$8*C33)/('2022 Regression Curves'!$C$8+C33),('2022 Regression Curves'!$B$8*'2022 Regression Curves'!$F$8)/('2022 Regression Curves'!$C$8+'2022 Regression Curves'!$F$8))&lt;=($D$7*$D$8/0.88),IF(C33&lt;='2022 Regression Curves'!$F$8,('2022 Regression Curves'!$B$8*C33)/('2022 Regression Curves'!$C$8+C33),('2022 Regression Curves'!$B$8*'2022 Regression Curves'!$F$8)/('2022 Regression Curves'!$C$8+'2022 Regression Curves'!$F$8)),($D$7*$D$8/0.88))</f>
        <v>0.13817874988872159</v>
      </c>
      <c r="H33" s="31">
        <f>IF(IF(C33&lt;='2022 Regression Curves'!$F$9,('2022 Regression Curves'!$B$9*C33)/('2022 Regression Curves'!$C$9+C33),('2022 Regression Curves'!$B$9*'2022 Regression Curves'!$F$9)/('2022 Regression Curves'!$C$9+'2022 Regression Curves'!$F$9))&lt;=($D$7*$D$8/0.88),IF(C33&lt;='2022 Regression Curves'!$F$9,('2022 Regression Curves'!$B$9*C33)/('2022 Regression Curves'!$C$9+C33),('2022 Regression Curves'!$B$9*'2022 Regression Curves'!$F$9)/('2022 Regression Curves'!$C$9+'2022 Regression Curves'!$F$9)),($D$7*$D$8/0.88))</f>
        <v>0.16238405647087337</v>
      </c>
      <c r="I33" s="31">
        <f>IF(IF(C33&lt;='2022 Regression Curves'!$F$10,('2022 Regression Curves'!$B$10*C33)/('2022 Regression Curves'!$C$10+C33),('2022 Regression Curves'!$B$10*'2022 Regression Curves'!$F$10)/('2022 Regression Curves'!$C$10+'2022 Regression Curves'!$F$10))&lt;=($D$7*$D$8/0.88),IF(C33&lt;='2022 Regression Curves'!$F$10,('2022 Regression Curves'!$B$10*C33)/('2022 Regression Curves'!$C$10+C33),('2022 Regression Curves'!$B$10*'2022 Regression Curves'!$F$10)/('2022 Regression Curves'!$C$10+'2022 Regression Curves'!$F$10)),($D$7*$D$8/0.88))</f>
        <v>0.12415558853610263</v>
      </c>
      <c r="J33" s="31">
        <f>IF(IF(C33&lt;='2022 Regression Curves'!$F$11,('2022 Regression Curves'!$B$11*C33)/('2022 Regression Curves'!$C$11+C33),('2022 Regression Curves'!$B$11*'2022 Regression Curves'!$F$11)/('2022 Regression Curves'!$C$11+'2022 Regression Curves'!$F$11))&lt;=($D$7*$D$8/0.88),IF(C33&lt;='2022 Regression Curves'!$F$11,('2022 Regression Curves'!$B$11*C33)/('2022 Regression Curves'!$C$11+C33),('2022 Regression Curves'!$B$11*'2022 Regression Curves'!$F$11)/('2022 Regression Curves'!$C$11+'2022 Regression Curves'!$F$11)),($D$7*$D$8/0.88))</f>
        <v>0.11462786715282551</v>
      </c>
      <c r="K33" s="31">
        <f>IF(IF(C33&lt;='2022 Regression Curves'!$F$12,('2022 Regression Curves'!$B$12*C33)/('2022 Regression Curves'!$C$12+C33),('2022 Regression Curves'!$B$12*'2022 Regression Curves'!$F$12)/('2022 Regression Curves'!$C$12+'2022 Regression Curves'!$F$12))&lt;=($D$7*$D$8/0.88),IF(C33&lt;='2022 Regression Curves'!$F$12,('2022 Regression Curves'!$B$12*C33)/('2022 Regression Curves'!$C$12+C33),('2022 Regression Curves'!$B$12*'2022 Regression Curves'!$F$12)/('2022 Regression Curves'!$C$12+'2022 Regression Curves'!$F$12)),($D$7*$D$8/0.88))</f>
        <v>7.3713846941387259E-2</v>
      </c>
    </row>
    <row r="34" spans="2:11" s="2" customFormat="1" ht="20.100000000000001" customHeight="1" x14ac:dyDescent="0.3">
      <c r="B34" s="105"/>
      <c r="C34" s="30">
        <v>700</v>
      </c>
      <c r="D34" s="29">
        <f>IF(IF(C34&lt;='2022 Regression Curves'!$F$5,('2022 Regression Curves'!$B$5*C34)/('2022 Regression Curves'!$C$5+C34),('2022 Regression Curves'!$B$5*'2022 Regression Curves'!$F$5)/('2022 Regression Curves'!$C$5+'2022 Regression Curves'!$F$5))&lt;=($D$7*$D$8/0.88),IF(C34&lt;='2022 Regression Curves'!$F$5,('2022 Regression Curves'!$B$5*C34)/('2022 Regression Curves'!$C$5+C34),('2022 Regression Curves'!$B$5*'2022 Regression Curves'!$F$5)/('2022 Regression Curves'!$C$5+'2022 Regression Curves'!$F$5)),($D$7*$D$8/0.88))</f>
        <v>0.19681867167120454</v>
      </c>
      <c r="E34" s="29">
        <f>IF(IF(C34&lt;='2022 Regression Curves'!$F$6,('2022 Regression Curves'!$B$6*C34)/('2022 Regression Curves'!$C$6+C34),('2022 Regression Curves'!$B$6*'2022 Regression Curves'!$F$6)/('2022 Regression Curves'!$C$6+'2022 Regression Curves'!$F$6))&lt;=($D$7*$D$8/0.88),IF(C34&lt;='2022 Regression Curves'!$F$6,('2022 Regression Curves'!$B$6*C34)/('2022 Regression Curves'!$C$6+C34),('2022 Regression Curves'!$B$6*'2022 Regression Curves'!$F$6)/('2022 Regression Curves'!$C$6+'2022 Regression Curves'!$F$6)),($D$7*$D$8/0.88))</f>
        <v>8.7375626760063857E-2</v>
      </c>
      <c r="F34" s="29">
        <f>IF(IF(C34&lt;='2022 Regression Curves'!$F$7,('2022 Regression Curves'!$B$7*C34)/('2022 Regression Curves'!$C$7+C34),('2022 Regression Curves'!$B$7*'2022 Regression Curves'!$F$7)/('2022 Regression Curves'!$C$7+'2022 Regression Curves'!$F$7))&lt;=($D$7*$D$8/0.88),IF(C34&lt;='2022 Regression Curves'!$F$7,('2022 Regression Curves'!$B$7*C34)/('2022 Regression Curves'!$C$7+C34),('2022 Regression Curves'!$B$7*'2022 Regression Curves'!$F$7)/('2022 Regression Curves'!$C$7+'2022 Regression Curves'!$F$7)),($D$7*$D$8/0.88))</f>
        <v>0.16378748848426528</v>
      </c>
      <c r="G34" s="29">
        <f>IF(IF(C34&lt;='2022 Regression Curves'!$F$8,('2022 Regression Curves'!$B$8*C34)/('2022 Regression Curves'!$C$8+C34),('2022 Regression Curves'!$B$8*'2022 Regression Curves'!$F$8)/('2022 Regression Curves'!$C$8+'2022 Regression Curves'!$F$8))&lt;=($D$7*$D$8/0.88),IF(C34&lt;='2022 Regression Curves'!$F$8,('2022 Regression Curves'!$B$8*C34)/('2022 Regression Curves'!$C$8+C34),('2022 Regression Curves'!$B$8*'2022 Regression Curves'!$F$8)/('2022 Regression Curves'!$C$8+'2022 Regression Curves'!$F$8)),($D$7*$D$8/0.88))</f>
        <v>0.14698564728385347</v>
      </c>
      <c r="H34" s="29">
        <f>IF(IF(C34&lt;='2022 Regression Curves'!$F$9,('2022 Regression Curves'!$B$9*C34)/('2022 Regression Curves'!$C$9+C34),('2022 Regression Curves'!$B$9*'2022 Regression Curves'!$F$9)/('2022 Regression Curves'!$C$9+'2022 Regression Curves'!$F$9))&lt;=($D$7*$D$8/0.88),IF(C34&lt;='2022 Regression Curves'!$F$9,('2022 Regression Curves'!$B$9*C34)/('2022 Regression Curves'!$C$9+C34),('2022 Regression Curves'!$B$9*'2022 Regression Curves'!$F$9)/('2022 Regression Curves'!$C$9+'2022 Regression Curves'!$F$9)),($D$7*$D$8/0.88))</f>
        <v>0.17207141514063357</v>
      </c>
      <c r="I34" s="29">
        <f>IF(IF(C34&lt;='2022 Regression Curves'!$F$10,('2022 Regression Curves'!$B$10*C34)/('2022 Regression Curves'!$C$10+C34),('2022 Regression Curves'!$B$10*'2022 Regression Curves'!$F$10)/('2022 Regression Curves'!$C$10+'2022 Regression Curves'!$F$10))&lt;=($D$7*$D$8/0.88),IF(C34&lt;='2022 Regression Curves'!$F$10,('2022 Regression Curves'!$B$10*C34)/('2022 Regression Curves'!$C$10+C34),('2022 Regression Curves'!$B$10*'2022 Regression Curves'!$F$10)/('2022 Regression Curves'!$C$10+'2022 Regression Curves'!$F$10)),($D$7*$D$8/0.88))</f>
        <v>0.13179907083006384</v>
      </c>
      <c r="J34" s="29">
        <f>IF(IF(C34&lt;='2022 Regression Curves'!$F$11,('2022 Regression Curves'!$B$11*C34)/('2022 Regression Curves'!$C$11+C34),('2022 Regression Curves'!$B$11*'2022 Regression Curves'!$F$11)/('2022 Regression Curves'!$C$11+'2022 Regression Curves'!$F$11))&lt;=($D$7*$D$8/0.88),IF(C34&lt;='2022 Regression Curves'!$F$11,('2022 Regression Curves'!$B$11*C34)/('2022 Regression Curves'!$C$11+C34),('2022 Regression Curves'!$B$11*'2022 Regression Curves'!$F$11)/('2022 Regression Curves'!$C$11+'2022 Regression Curves'!$F$11)),($D$7*$D$8/0.88))</f>
        <v>0.11977922226975367</v>
      </c>
      <c r="K34" s="29">
        <f>IF(IF(C34&lt;='2022 Regression Curves'!$F$12,('2022 Regression Curves'!$B$12*C34)/('2022 Regression Curves'!$C$12+C34),('2022 Regression Curves'!$B$12*'2022 Regression Curves'!$F$12)/('2022 Regression Curves'!$C$12+'2022 Regression Curves'!$F$12))&lt;=($D$7*$D$8/0.88),IF(C34&lt;='2022 Regression Curves'!$F$12,('2022 Regression Curves'!$B$12*C34)/('2022 Regression Curves'!$C$12+C34),('2022 Regression Curves'!$B$12*'2022 Regression Curves'!$F$12)/('2022 Regression Curves'!$C$12+'2022 Regression Curves'!$F$12)),($D$7*$D$8/0.88))</f>
        <v>8.3161455325468189E-2</v>
      </c>
    </row>
    <row r="35" spans="2:11" s="2" customFormat="1" ht="20.100000000000001" customHeight="1" x14ac:dyDescent="0.3">
      <c r="B35" s="105"/>
      <c r="C35" s="32">
        <v>800</v>
      </c>
      <c r="D35" s="31">
        <f>IF(IF(C35&lt;='2022 Regression Curves'!$F$5,('2022 Regression Curves'!$B$5*C35)/('2022 Regression Curves'!$C$5+C35),('2022 Regression Curves'!$B$5*'2022 Regression Curves'!$F$5)/('2022 Regression Curves'!$C$5+'2022 Regression Curves'!$F$5))&lt;=($D$7*$D$8/0.88),IF(C35&lt;='2022 Regression Curves'!$F$5,('2022 Regression Curves'!$B$5*C35)/('2022 Regression Curves'!$C$5+C35),('2022 Regression Curves'!$B$5*'2022 Regression Curves'!$F$5)/('2022 Regression Curves'!$C$5+'2022 Regression Curves'!$F$5)),($D$7*$D$8/0.88))</f>
        <v>0.20751835918020956</v>
      </c>
      <c r="E35" s="31">
        <f>IF(IF(C35&lt;='2022 Regression Curves'!$F$6,('2022 Regression Curves'!$B$6*C35)/('2022 Regression Curves'!$C$6+C35),('2022 Regression Curves'!$B$6*'2022 Regression Curves'!$F$6)/('2022 Regression Curves'!$C$6+'2022 Regression Curves'!$F$6))&lt;=($D$7*$D$8/0.88),IF(C35&lt;='2022 Regression Curves'!$F$6,('2022 Regression Curves'!$B$6*C35)/('2022 Regression Curves'!$C$6+C35),('2022 Regression Curves'!$B$6*'2022 Regression Curves'!$F$6)/('2022 Regression Curves'!$C$6+'2022 Regression Curves'!$F$6)),($D$7*$D$8/0.88))</f>
        <v>9.5460938071037379E-2</v>
      </c>
      <c r="F35" s="31">
        <f>IF(IF(C35&lt;='2022 Regression Curves'!$F$7,('2022 Regression Curves'!$B$7*C35)/('2022 Regression Curves'!$C$7+C35),('2022 Regression Curves'!$B$7*'2022 Regression Curves'!$F$7)/('2022 Regression Curves'!$C$7+'2022 Regression Curves'!$F$7))&lt;=($D$7*$D$8/0.88),IF(C35&lt;='2022 Regression Curves'!$F$7,('2022 Regression Curves'!$B$7*C35)/('2022 Regression Curves'!$C$7+C35),('2022 Regression Curves'!$B$7*'2022 Regression Curves'!$F$7)/('2022 Regression Curves'!$C$7+'2022 Regression Curves'!$F$7)),($D$7*$D$8/0.88))</f>
        <v>0.17439413073546217</v>
      </c>
      <c r="G35" s="31">
        <f>IF(IF(C35&lt;='2022 Regression Curves'!$F$8,('2022 Regression Curves'!$B$8*C35)/('2022 Regression Curves'!$C$8+C35),('2022 Regression Curves'!$B$8*'2022 Regression Curves'!$F$8)/('2022 Regression Curves'!$C$8+'2022 Regression Curves'!$F$8))&lt;=($D$7*$D$8/0.88),IF(C35&lt;='2022 Regression Curves'!$F$8,('2022 Regression Curves'!$B$8*C35)/('2022 Regression Curves'!$C$8+C35),('2022 Regression Curves'!$B$8*'2022 Regression Curves'!$F$8)/('2022 Regression Curves'!$C$8+'2022 Regression Curves'!$F$8)),($D$7*$D$8/0.88))</f>
        <v>0.15436452729106467</v>
      </c>
      <c r="H35" s="31">
        <f>IF(IF(C35&lt;='2022 Regression Curves'!$F$9,('2022 Regression Curves'!$B$9*C35)/('2022 Regression Curves'!$C$9+C35),('2022 Regression Curves'!$B$9*'2022 Regression Curves'!$F$9)/('2022 Regression Curves'!$C$9+'2022 Regression Curves'!$F$9))&lt;=($D$7*$D$8/0.88),IF(C35&lt;='2022 Regression Curves'!$F$9,('2022 Regression Curves'!$B$9*C35)/('2022 Regression Curves'!$C$9+C35),('2022 Regression Curves'!$B$9*'2022 Regression Curves'!$F$9)/('2022 Regression Curves'!$C$9+'2022 Regression Curves'!$F$9)),($D$7*$D$8/0.88))</f>
        <v>0.18013098143659501</v>
      </c>
      <c r="I35" s="31">
        <f>IF(IF(C35&lt;='2022 Regression Curves'!$F$10,('2022 Regression Curves'!$B$10*C35)/('2022 Regression Curves'!$C$10+C35),('2022 Regression Curves'!$B$10*'2022 Regression Curves'!$F$10)/('2022 Regression Curves'!$C$10+'2022 Regression Curves'!$F$10))&lt;=($D$7*$D$8/0.88),IF(C35&lt;='2022 Regression Curves'!$F$10,('2022 Regression Curves'!$B$10*C35)/('2022 Regression Curves'!$C$10+C35),('2022 Regression Curves'!$B$10*'2022 Regression Curves'!$F$10)/('2022 Regression Curves'!$C$10+'2022 Regression Curves'!$F$10)),($D$7*$D$8/0.88))</f>
        <v>0.13817919163520029</v>
      </c>
      <c r="J35" s="31">
        <f>IF(IF(C35&lt;='2022 Regression Curves'!$F$11,('2022 Regression Curves'!$B$11*C35)/('2022 Regression Curves'!$C$11+C35),('2022 Regression Curves'!$B$11*'2022 Regression Curves'!$F$11)/('2022 Regression Curves'!$C$11+'2022 Regression Curves'!$F$11))&lt;=($D$7*$D$8/0.88),IF(C35&lt;='2022 Regression Curves'!$F$11,('2022 Regression Curves'!$B$11*C35)/('2022 Regression Curves'!$C$11+C35),('2022 Regression Curves'!$B$11*'2022 Regression Curves'!$F$11)/('2022 Regression Curves'!$C$11+'2022 Regression Curves'!$F$11)),($D$7*$D$8/0.88))</f>
        <v>0.1239571818637038</v>
      </c>
      <c r="K35" s="31">
        <f>IF(IF(C35&lt;='2022 Regression Curves'!$F$12,('2022 Regression Curves'!$B$12*C35)/('2022 Regression Curves'!$C$12+C35),('2022 Regression Curves'!$B$12*'2022 Regression Curves'!$F$12)/('2022 Regression Curves'!$C$12+'2022 Regression Curves'!$F$12))&lt;=($D$7*$D$8/0.88),IF(C35&lt;='2022 Regression Curves'!$F$12,('2022 Regression Curves'!$B$12*C35)/('2022 Regression Curves'!$C$12+C35),('2022 Regression Curves'!$B$12*'2022 Regression Curves'!$F$12)/('2022 Regression Curves'!$C$12+'2022 Regression Curves'!$F$12)),($D$7*$D$8/0.88))</f>
        <v>9.20054308761281E-2</v>
      </c>
    </row>
    <row r="36" spans="2:11" s="2" customFormat="1" ht="20.100000000000001" customHeight="1" x14ac:dyDescent="0.3">
      <c r="B36" s="105"/>
      <c r="C36" s="30">
        <v>900</v>
      </c>
      <c r="D36" s="29">
        <f>IF(IF(C36&lt;='2022 Regression Curves'!$F$5,('2022 Regression Curves'!$B$5*C36)/('2022 Regression Curves'!$C$5+C36),('2022 Regression Curves'!$B$5*'2022 Regression Curves'!$F$5)/('2022 Regression Curves'!$C$5+'2022 Regression Curves'!$F$5))&lt;=($D$7*$D$8/0.88),IF(C36&lt;='2022 Regression Curves'!$F$5,('2022 Regression Curves'!$B$5*C36)/('2022 Regression Curves'!$C$5+C36),('2022 Regression Curves'!$B$5*'2022 Regression Curves'!$F$5)/('2022 Regression Curves'!$C$5+'2022 Regression Curves'!$F$5)),($D$7*$D$8/0.88))</f>
        <v>0.21668012982122273</v>
      </c>
      <c r="E36" s="29">
        <f>IF(IF(C36&lt;='2022 Regression Curves'!$F$6,('2022 Regression Curves'!$B$6*C36)/('2022 Regression Curves'!$C$6+C36),('2022 Regression Curves'!$B$6*'2022 Regression Curves'!$F$6)/('2022 Regression Curves'!$C$6+'2022 Regression Curves'!$F$6))&lt;=($D$7*$D$8/0.88),IF(C36&lt;='2022 Regression Curves'!$F$6,('2022 Regression Curves'!$B$6*C36)/('2022 Regression Curves'!$C$6+C36),('2022 Regression Curves'!$B$6*'2022 Regression Curves'!$F$6)/('2022 Regression Curves'!$C$6+'2022 Regression Curves'!$F$6)),($D$7*$D$8/0.88))</f>
        <v>0.10286425713786847</v>
      </c>
      <c r="F36" s="29">
        <f>IF(IF(C36&lt;='2022 Regression Curves'!$F$7,('2022 Regression Curves'!$B$7*C36)/('2022 Regression Curves'!$C$7+C36),('2022 Regression Curves'!$B$7*'2022 Regression Curves'!$F$7)/('2022 Regression Curves'!$C$7+'2022 Regression Curves'!$F$7))&lt;=($D$7*$D$8/0.88),IF(C36&lt;='2022 Regression Curves'!$F$7,('2022 Regression Curves'!$B$7*C36)/('2022 Regression Curves'!$C$7+C36),('2022 Regression Curves'!$B$7*'2022 Regression Curves'!$F$7)/('2022 Regression Curves'!$C$7+'2022 Regression Curves'!$F$7)),($D$7*$D$8/0.88))</f>
        <v>0.18364386267456084</v>
      </c>
      <c r="G36" s="29">
        <f>IF(IF(C36&lt;='2022 Regression Curves'!$F$8,('2022 Regression Curves'!$B$8*C36)/('2022 Regression Curves'!$C$8+C36),('2022 Regression Curves'!$B$8*'2022 Regression Curves'!$F$8)/('2022 Regression Curves'!$C$8+'2022 Regression Curves'!$F$8))&lt;=($D$7*$D$8/0.88),IF(C36&lt;='2022 Regression Curves'!$F$8,('2022 Regression Curves'!$B$8*C36)/('2022 Regression Curves'!$C$8+C36),('2022 Regression Curves'!$B$8*'2022 Regression Curves'!$F$8)/('2022 Regression Curves'!$C$8+'2022 Regression Curves'!$F$8)),($D$7*$D$8/0.88))</f>
        <v>0.160636667156626</v>
      </c>
      <c r="H36" s="29">
        <f>IF(IF(C36&lt;='2022 Regression Curves'!$F$9,('2022 Regression Curves'!$B$9*C36)/('2022 Regression Curves'!$C$9+C36),('2022 Regression Curves'!$B$9*'2022 Regression Curves'!$F$9)/('2022 Regression Curves'!$C$9+'2022 Regression Curves'!$F$9))&lt;=($D$7*$D$8/0.88),IF(C36&lt;='2022 Regression Curves'!$F$9,('2022 Regression Curves'!$B$9*C36)/('2022 Regression Curves'!$C$9+C36),('2022 Regression Curves'!$B$9*'2022 Regression Curves'!$F$9)/('2022 Regression Curves'!$C$9+'2022 Regression Curves'!$F$9)),($D$7*$D$8/0.88))</f>
        <v>0.18694123984204553</v>
      </c>
      <c r="I36" s="29">
        <f>IF(IF(C36&lt;='2022 Regression Curves'!$F$10,('2022 Regression Curves'!$B$10*C36)/('2022 Regression Curves'!$C$10+C36),('2022 Regression Curves'!$B$10*'2022 Regression Curves'!$F$10)/('2022 Regression Curves'!$C$10+'2022 Regression Curves'!$F$10))&lt;=($D$7*$D$8/0.88),IF(C36&lt;='2022 Regression Curves'!$F$10,('2022 Regression Curves'!$B$10*C36)/('2022 Regression Curves'!$C$10+C36),('2022 Regression Curves'!$B$10*'2022 Regression Curves'!$F$10)/('2022 Regression Curves'!$C$10+'2022 Regression Curves'!$F$10)),($D$7*$D$8/0.88))</f>
        <v>0.14358526529686882</v>
      </c>
      <c r="J36" s="29">
        <f>IF(IF(C36&lt;='2022 Regression Curves'!$F$11,('2022 Regression Curves'!$B$11*C36)/('2022 Regression Curves'!$C$11+C36),('2022 Regression Curves'!$B$11*'2022 Regression Curves'!$F$11)/('2022 Regression Curves'!$C$11+'2022 Regression Curves'!$F$11))&lt;=($D$7*$D$8/0.88),IF(C36&lt;='2022 Regression Curves'!$F$11,('2022 Regression Curves'!$B$11*C36)/('2022 Regression Curves'!$C$11+C36),('2022 Regression Curves'!$B$11*'2022 Regression Curves'!$F$11)/('2022 Regression Curves'!$C$11+'2022 Regression Curves'!$F$11)),($D$7*$D$8/0.88))</f>
        <v>0.12741382733527273</v>
      </c>
      <c r="K36" s="29">
        <f>IF(IF(C36&lt;='2022 Regression Curves'!$F$12,('2022 Regression Curves'!$B$12*C36)/('2022 Regression Curves'!$C$12+C36),('2022 Regression Curves'!$B$12*'2022 Regression Curves'!$F$12)/('2022 Regression Curves'!$C$12+'2022 Regression Curves'!$F$12))&lt;=($D$7*$D$8/0.88),IF(C36&lt;='2022 Regression Curves'!$F$12,('2022 Regression Curves'!$B$12*C36)/('2022 Regression Curves'!$C$12+C36),('2022 Regression Curves'!$B$12*'2022 Regression Curves'!$F$12)/('2022 Regression Curves'!$C$12+'2022 Regression Curves'!$F$12)),($D$7*$D$8/0.88))</f>
        <v>0.10030183422335733</v>
      </c>
    </row>
    <row r="37" spans="2:11" s="2" customFormat="1" ht="20.100000000000001" customHeight="1" x14ac:dyDescent="0.3">
      <c r="B37" s="105"/>
      <c r="C37" s="32">
        <v>1000</v>
      </c>
      <c r="D37" s="31">
        <f>IF(IF(C37&lt;='2022 Regression Curves'!$F$5,('2022 Regression Curves'!$B$5*C37)/('2022 Regression Curves'!$C$5+C37),('2022 Regression Curves'!$B$5*'2022 Regression Curves'!$F$5)/('2022 Regression Curves'!$C$5+'2022 Regression Curves'!$F$5))&lt;=($D$7*$D$8/0.88),IF(C37&lt;='2022 Regression Curves'!$F$5,('2022 Regression Curves'!$B$5*C37)/('2022 Regression Curves'!$C$5+C37),('2022 Regression Curves'!$B$5*'2022 Regression Curves'!$F$5)/('2022 Regression Curves'!$C$5+'2022 Regression Curves'!$F$5)),($D$7*$D$8/0.88))</f>
        <v>0.22272727272727275</v>
      </c>
      <c r="E37" s="31">
        <f>IF(IF(C37&lt;='2022 Regression Curves'!$F$6,('2022 Regression Curves'!$B$6*C37)/('2022 Regression Curves'!$C$6+C37),('2022 Regression Curves'!$B$6*'2022 Regression Curves'!$F$6)/('2022 Regression Curves'!$C$6+'2022 Regression Curves'!$F$6))&lt;=($D$7*$D$8/0.88),IF(C37&lt;='2022 Regression Curves'!$F$6,('2022 Regression Curves'!$B$6*C37)/('2022 Regression Curves'!$C$6+C37),('2022 Regression Curves'!$B$6*'2022 Regression Curves'!$F$6)/('2022 Regression Curves'!$C$6+'2022 Regression Curves'!$F$6)),($D$7*$D$8/0.88))</f>
        <v>0.10966838062293258</v>
      </c>
      <c r="F37" s="31">
        <f>IF(IF(C37&lt;='2022 Regression Curves'!$F$7,('2022 Regression Curves'!$B$7*C37)/('2022 Regression Curves'!$C$7+C37),('2022 Regression Curves'!$B$7*'2022 Regression Curves'!$F$7)/('2022 Regression Curves'!$C$7+'2022 Regression Curves'!$F$7))&lt;=($D$7*$D$8/0.88),IF(C37&lt;='2022 Regression Curves'!$F$7,('2022 Regression Curves'!$B$7*C37)/('2022 Regression Curves'!$C$7+C37),('2022 Regression Curves'!$B$7*'2022 Regression Curves'!$F$7)/('2022 Regression Curves'!$C$7+'2022 Regression Curves'!$F$7)),($D$7*$D$8/0.88))</f>
        <v>0.1917814148779092</v>
      </c>
      <c r="G37" s="31">
        <f>IF(IF(C37&lt;='2022 Regression Curves'!$F$8,('2022 Regression Curves'!$B$8*C37)/('2022 Regression Curves'!$C$8+C37),('2022 Regression Curves'!$B$8*'2022 Regression Curves'!$F$8)/('2022 Regression Curves'!$C$8+'2022 Regression Curves'!$F$8))&lt;=($D$7*$D$8/0.88),IF(C37&lt;='2022 Regression Curves'!$F$8,('2022 Regression Curves'!$B$8*C37)/('2022 Regression Curves'!$C$8+C37),('2022 Regression Curves'!$B$8*'2022 Regression Curves'!$F$8)/('2022 Regression Curves'!$C$8+'2022 Regression Curves'!$F$8)),($D$7*$D$8/0.88))</f>
        <v>0.16603369228236331</v>
      </c>
      <c r="H37" s="31">
        <f>IF(IF(C37&lt;='2022 Regression Curves'!$F$9,('2022 Regression Curves'!$B$9*C37)/('2022 Regression Curves'!$C$9+C37),('2022 Regression Curves'!$B$9*'2022 Regression Curves'!$F$9)/('2022 Regression Curves'!$C$9+'2022 Regression Curves'!$F$9))&lt;=($D$7*$D$8/0.88),IF(C37&lt;='2022 Regression Curves'!$F$9,('2022 Regression Curves'!$B$9*C37)/('2022 Regression Curves'!$C$9+C37),('2022 Regression Curves'!$B$9*'2022 Regression Curves'!$F$9)/('2022 Regression Curves'!$C$9+'2022 Regression Curves'!$F$9)),($D$7*$D$8/0.88))</f>
        <v>0.19277177763631592</v>
      </c>
      <c r="I37" s="31">
        <f>IF(IF(C37&lt;='2022 Regression Curves'!$F$10,('2022 Regression Curves'!$B$10*C37)/('2022 Regression Curves'!$C$10+C37),('2022 Regression Curves'!$B$10*'2022 Regression Curves'!$F$10)/('2022 Regression Curves'!$C$10+'2022 Regression Curves'!$F$10))&lt;=($D$7*$D$8/0.88),IF(C37&lt;='2022 Regression Curves'!$F$10,('2022 Regression Curves'!$B$10*C37)/('2022 Regression Curves'!$C$10+C37),('2022 Regression Curves'!$B$10*'2022 Regression Curves'!$F$10)/('2022 Regression Curves'!$C$10+'2022 Regression Curves'!$F$10)),($D$7*$D$8/0.88))</f>
        <v>0.14822453250762574</v>
      </c>
      <c r="J37" s="31">
        <f>IF(IF(C37&lt;='2022 Regression Curves'!$F$11,('2022 Regression Curves'!$B$11*C37)/('2022 Regression Curves'!$C$11+C37),('2022 Regression Curves'!$B$11*'2022 Regression Curves'!$F$11)/('2022 Regression Curves'!$C$11+'2022 Regression Curves'!$F$11))&lt;=($D$7*$D$8/0.88),IF(C37&lt;='2022 Regression Curves'!$F$11,('2022 Regression Curves'!$B$11*C37)/('2022 Regression Curves'!$C$11+C37),('2022 Regression Curves'!$B$11*'2022 Regression Curves'!$F$11)/('2022 Regression Curves'!$C$11+'2022 Regression Curves'!$F$11)),($D$7*$D$8/0.88))</f>
        <v>0.13032111440445635</v>
      </c>
      <c r="K37" s="31">
        <f>IF(IF(C37&lt;='2022 Regression Curves'!$F$12,('2022 Regression Curves'!$B$12*C37)/('2022 Regression Curves'!$C$12+C37),('2022 Regression Curves'!$B$12*'2022 Regression Curves'!$F$12)/('2022 Regression Curves'!$C$12+'2022 Regression Curves'!$F$12))&lt;=($D$7*$D$8/0.88),IF(C37&lt;='2022 Regression Curves'!$F$12,('2022 Regression Curves'!$B$12*C37)/('2022 Regression Curves'!$C$12+C37),('2022 Regression Curves'!$B$12*'2022 Regression Curves'!$F$12)/('2022 Regression Curves'!$C$12+'2022 Regression Curves'!$F$12)),($D$7*$D$8/0.88))</f>
        <v>0.10809999249305607</v>
      </c>
    </row>
    <row r="38" spans="2:11" s="2" customFormat="1" ht="20.100000000000001" customHeight="1" x14ac:dyDescent="0.3">
      <c r="B38" s="105"/>
      <c r="C38" s="30">
        <v>1250</v>
      </c>
      <c r="D38" s="29">
        <f>IF(IF(C38&lt;='2022 Regression Curves'!$F$5,('2022 Regression Curves'!$B$5*C38)/('2022 Regression Curves'!$C$5+C38),('2022 Regression Curves'!$B$5*'2022 Regression Curves'!$F$5)/('2022 Regression Curves'!$C$5+'2022 Regression Curves'!$F$5))&lt;=($D$7*$D$8/0.88),IF(C38&lt;='2022 Regression Curves'!$F$5,('2022 Regression Curves'!$B$5*C38)/('2022 Regression Curves'!$C$5+C38),('2022 Regression Curves'!$B$5*'2022 Regression Curves'!$F$5)/('2022 Regression Curves'!$C$5+'2022 Regression Curves'!$F$5)),($D$7*$D$8/0.88))</f>
        <v>0.22272727272727275</v>
      </c>
      <c r="E38" s="29">
        <f>IF(IF(C38&lt;='2022 Regression Curves'!$F$6,('2022 Regression Curves'!$B$6*C38)/('2022 Regression Curves'!$C$6+C38),('2022 Regression Curves'!$B$6*'2022 Regression Curves'!$F$6)/('2022 Regression Curves'!$C$6+'2022 Regression Curves'!$F$6))&lt;=($D$7*$D$8/0.88),IF(C38&lt;='2022 Regression Curves'!$F$6,('2022 Regression Curves'!$B$6*C38)/('2022 Regression Curves'!$C$6+C38),('2022 Regression Curves'!$B$6*'2022 Regression Curves'!$F$6)/('2022 Regression Curves'!$C$6+'2022 Regression Curves'!$F$6)),($D$7*$D$8/0.88))</f>
        <v>0.12449073641920909</v>
      </c>
      <c r="F38" s="29"/>
      <c r="G38" s="29">
        <f>IF(IF(C38&lt;='2022 Regression Curves'!$F$8,('2022 Regression Curves'!$B$8*C38)/('2022 Regression Curves'!$C$8+C38),('2022 Regression Curves'!$B$8*'2022 Regression Curves'!$F$8)/('2022 Regression Curves'!$C$8+'2022 Regression Curves'!$F$8))&lt;=($D$7*$D$8/0.88),IF(C38&lt;='2022 Regression Curves'!$F$8,('2022 Regression Curves'!$B$8*C38)/('2022 Regression Curves'!$C$8+C38),('2022 Regression Curves'!$B$8*'2022 Regression Curves'!$F$8)/('2022 Regression Curves'!$C$8+'2022 Regression Curves'!$F$8)),($D$7*$D$8/0.88))</f>
        <v>0.17672105517023437</v>
      </c>
      <c r="H38" s="29">
        <f>IF(IF(C38&lt;='2022 Regression Curves'!$F$9,('2022 Regression Curves'!$B$9*C38)/('2022 Regression Curves'!$C$9+C38),('2022 Regression Curves'!$B$9*'2022 Regression Curves'!$F$9)/('2022 Regression Curves'!$C$9+'2022 Regression Curves'!$F$9))&lt;=($D$7*$D$8/0.88),IF(C38&lt;='2022 Regression Curves'!$F$9,('2022 Regression Curves'!$B$9*C38)/('2022 Regression Curves'!$C$9+C38),('2022 Regression Curves'!$B$9*'2022 Regression Curves'!$F$9)/('2022 Regression Curves'!$C$9+'2022 Regression Curves'!$F$9)),($D$7*$D$8/0.88))</f>
        <v>0.20423778155092687</v>
      </c>
      <c r="I38" s="29">
        <f>IF(IF(C38&lt;='2022 Regression Curves'!$F$10,('2022 Regression Curves'!$B$10*C38)/('2022 Regression Curves'!$C$10+C38),('2022 Regression Curves'!$B$10*'2022 Regression Curves'!$F$10)/('2022 Regression Curves'!$C$10+'2022 Regression Curves'!$F$10))&lt;=($D$7*$D$8/0.88),IF(C38&lt;='2022 Regression Curves'!$F$10,('2022 Regression Curves'!$B$10*C38)/('2022 Regression Curves'!$C$10+C38),('2022 Regression Curves'!$B$10*'2022 Regression Curves'!$F$10)/('2022 Regression Curves'!$C$10+'2022 Regression Curves'!$F$10)),($D$7*$D$8/0.88))</f>
        <v>0.15737733754291355</v>
      </c>
      <c r="J38" s="29">
        <f>IF(IF(C38&lt;='2022 Regression Curves'!$F$11,('2022 Regression Curves'!$B$11*C38)/('2022 Regression Curves'!$C$11+C38),('2022 Regression Curves'!$B$11*'2022 Regression Curves'!$F$11)/('2022 Regression Curves'!$C$11+'2022 Regression Curves'!$F$11))&lt;=($D$7*$D$8/0.88),IF(C38&lt;='2022 Regression Curves'!$F$11,('2022 Regression Curves'!$B$11*C38)/('2022 Regression Curves'!$C$11+C38),('2022 Regression Curves'!$B$11*'2022 Regression Curves'!$F$11)/('2022 Regression Curves'!$C$11+'2022 Regression Curves'!$F$11)),($D$7*$D$8/0.88))</f>
        <v>0.13590289241131506</v>
      </c>
      <c r="K38" s="29">
        <f>IF(IF(C38&lt;='2022 Regression Curves'!$F$12,('2022 Regression Curves'!$B$12*C38)/('2022 Regression Curves'!$C$12+C38),('2022 Regression Curves'!$B$12*'2022 Regression Curves'!$F$12)/('2022 Regression Curves'!$C$12+'2022 Regression Curves'!$F$12))&lt;=($D$7*$D$8/0.88),IF(C38&lt;='2022 Regression Curves'!$F$12,('2022 Regression Curves'!$B$12*C38)/('2022 Regression Curves'!$C$12+C38),('2022 Regression Curves'!$B$12*'2022 Regression Curves'!$F$12)/('2022 Regression Curves'!$C$12+'2022 Regression Curves'!$F$12)),($D$7*$D$8/0.88))</f>
        <v>0.12568954681935618</v>
      </c>
    </row>
    <row r="39" spans="2:11" s="2" customFormat="1" ht="20.100000000000001" customHeight="1" x14ac:dyDescent="0.3">
      <c r="B39" s="105"/>
      <c r="C39" s="32">
        <v>1500</v>
      </c>
      <c r="D39" s="31">
        <f>IF(IF(C39&lt;='2022 Regression Curves'!$F$5,('2022 Regression Curves'!$B$5*C39)/('2022 Regression Curves'!$C$5+C39),('2022 Regression Curves'!$B$5*'2022 Regression Curves'!$F$5)/('2022 Regression Curves'!$C$5+'2022 Regression Curves'!$F$5))&lt;=($D$7*$D$8/0.88),IF(C39&lt;='2022 Regression Curves'!$F$5,('2022 Regression Curves'!$B$5*C39)/('2022 Regression Curves'!$C$5+C39),('2022 Regression Curves'!$B$5*'2022 Regression Curves'!$F$5)/('2022 Regression Curves'!$C$5+'2022 Regression Curves'!$F$5)),($D$7*$D$8/0.88))</f>
        <v>0.22272727272727275</v>
      </c>
      <c r="E39" s="31">
        <f>IF(IF(C39&lt;='2022 Regression Curves'!$F$6,('2022 Regression Curves'!$B$6*C39)/('2022 Regression Curves'!$C$6+C39),('2022 Regression Curves'!$B$6*'2022 Regression Curves'!$F$6)/('2022 Regression Curves'!$C$6+'2022 Regression Curves'!$F$6))&lt;=($D$7*$D$8/0.88),IF(C39&lt;='2022 Regression Curves'!$F$6,('2022 Regression Curves'!$B$6*C39)/('2022 Regression Curves'!$C$6+C39),('2022 Regression Curves'!$B$6*'2022 Regression Curves'!$F$6)/('2022 Regression Curves'!$C$6+'2022 Regression Curves'!$F$6)),($D$7*$D$8/0.88))</f>
        <v>0.13681865822800146</v>
      </c>
      <c r="F39" s="31"/>
      <c r="G39" s="31">
        <f>IF(IF(C39&lt;='2022 Regression Curves'!$F$8,('2022 Regression Curves'!$B$8*C39)/('2022 Regression Curves'!$C$8+C39),('2022 Regression Curves'!$B$8*'2022 Regression Curves'!$F$8)/('2022 Regression Curves'!$C$8+'2022 Regression Curves'!$F$8))&lt;=($D$7*$D$8/0.88),IF(C39&lt;='2022 Regression Curves'!$F$8,('2022 Regression Curves'!$B$8*C39)/('2022 Regression Curves'!$C$8+C39),('2022 Regression Curves'!$B$8*'2022 Regression Curves'!$F$8)/('2022 Regression Curves'!$C$8+'2022 Regression Curves'!$F$8)),($D$7*$D$8/0.88))</f>
        <v>0.18464460310202935</v>
      </c>
      <c r="H39" s="31">
        <f>IF(IF(C39&lt;='2022 Regression Curves'!$F$9,('2022 Regression Curves'!$B$9*C39)/('2022 Regression Curves'!$C$9+C39),('2022 Regression Curves'!$B$9*'2022 Regression Curves'!$F$9)/('2022 Regression Curves'!$C$9+'2022 Regression Curves'!$F$9))&lt;=($D$7*$D$8/0.88),IF(C39&lt;='2022 Regression Curves'!$F$9,('2022 Regression Curves'!$B$9*C39)/('2022 Regression Curves'!$C$9+C39),('2022 Regression Curves'!$B$9*'2022 Regression Curves'!$F$9)/('2022 Regression Curves'!$C$9+'2022 Regression Curves'!$F$9)),($D$7*$D$8/0.88))</f>
        <v>0.21267084425563884</v>
      </c>
      <c r="I39" s="31">
        <f>IF(IF(C39&lt;='2022 Regression Curves'!$F$10,('2022 Regression Curves'!$B$10*C39)/('2022 Regression Curves'!$C$10+C39),('2022 Regression Curves'!$B$10*'2022 Regression Curves'!$F$10)/('2022 Regression Curves'!$C$10+'2022 Regression Curves'!$F$10))&lt;=($D$7*$D$8/0.88),IF(C39&lt;='2022 Regression Curves'!$F$10,('2022 Regression Curves'!$B$10*C39)/('2022 Regression Curves'!$C$10+C39),('2022 Regression Curves'!$B$10*'2022 Regression Curves'!$F$10)/('2022 Regression Curves'!$C$10+'2022 Regression Curves'!$F$10)),($D$7*$D$8/0.88))</f>
        <v>0.16413414916993144</v>
      </c>
      <c r="J39" s="31">
        <f>IF(IF(C39&lt;='2022 Regression Curves'!$F$11,('2022 Regression Curves'!$B$11*C39)/('2022 Regression Curves'!$C$11+C39),('2022 Regression Curves'!$B$11*'2022 Regression Curves'!$F$11)/('2022 Regression Curves'!$C$11+'2022 Regression Curves'!$F$11))&lt;=($D$7*$D$8/0.88),IF(C39&lt;='2022 Regression Curves'!$F$11,('2022 Regression Curves'!$B$11*C39)/('2022 Regression Curves'!$C$11+C39),('2022 Regression Curves'!$B$11*'2022 Regression Curves'!$F$11)/('2022 Regression Curves'!$C$11+'2022 Regression Curves'!$F$11)),($D$7*$D$8/0.88))</f>
        <v>0.13989752222152715</v>
      </c>
      <c r="K39" s="31">
        <f>IF(IF(C39&lt;='2022 Regression Curves'!$F$12,('2022 Regression Curves'!$B$12*C39)/('2022 Regression Curves'!$C$12+C39),('2022 Regression Curves'!$B$12*'2022 Regression Curves'!$F$12)/('2022 Regression Curves'!$C$12+'2022 Regression Curves'!$F$12))&lt;=($D$7*$D$8/0.88),IF(C39&lt;='2022 Regression Curves'!$F$12,('2022 Regression Curves'!$B$12*C39)/('2022 Regression Curves'!$C$12+C39),('2022 Regression Curves'!$B$12*'2022 Regression Curves'!$F$12)/('2022 Regression Curves'!$C$12+'2022 Regression Curves'!$F$12)),($D$7*$D$8/0.88))</f>
        <v>0.14098296455844919</v>
      </c>
    </row>
    <row r="40" spans="2:11" s="2" customFormat="1" ht="20.100000000000001" customHeight="1" x14ac:dyDescent="0.3">
      <c r="B40" s="105"/>
      <c r="C40" s="30">
        <v>2000</v>
      </c>
      <c r="D40" s="29">
        <f>IF(IF(C40&lt;='2022 Regression Curves'!$F$5,('2022 Regression Curves'!$B$5*C40)/('2022 Regression Curves'!$C$5+C40),('2022 Regression Curves'!$B$5*'2022 Regression Curves'!$F$5)/('2022 Regression Curves'!$C$5+'2022 Regression Curves'!$F$5))&lt;=($D$7*$D$8/0.88),IF(C40&lt;='2022 Regression Curves'!$F$5,('2022 Regression Curves'!$B$5*C40)/('2022 Regression Curves'!$C$5+C40),('2022 Regression Curves'!$B$5*'2022 Regression Curves'!$F$5)/('2022 Regression Curves'!$C$5+'2022 Regression Curves'!$F$5)),($D$7*$D$8/0.88))</f>
        <v>0.22272727272727275</v>
      </c>
      <c r="E40" s="29">
        <f>IF(IF(C40&lt;='2022 Regression Curves'!$F$6,('2022 Regression Curves'!$B$6*C40)/('2022 Regression Curves'!$C$6+C40),('2022 Regression Curves'!$B$6*'2022 Regression Curves'!$F$6)/('2022 Regression Curves'!$C$6+'2022 Regression Curves'!$F$6))&lt;=($D$7*$D$8/0.88),IF(C40&lt;='2022 Regression Curves'!$F$6,('2022 Regression Curves'!$B$6*C40)/('2022 Regression Curves'!$C$6+C40),('2022 Regression Curves'!$B$6*'2022 Regression Curves'!$F$6)/('2022 Regression Curves'!$C$6+'2022 Regression Curves'!$F$6)),($D$7*$D$8/0.88))</f>
        <v>0.15614709632662516</v>
      </c>
      <c r="F40" s="29"/>
      <c r="G40" s="29"/>
      <c r="H40" s="29">
        <f>IF(IF(C40&lt;='2022 Regression Curves'!$F$9,('2022 Regression Curves'!$B$9*C40)/('2022 Regression Curves'!$C$9+C40),('2022 Regression Curves'!$B$9*'2022 Regression Curves'!$F$9)/('2022 Regression Curves'!$C$9+'2022 Regression Curves'!$F$9))&lt;=($D$7*$D$8/0.88),IF(C40&lt;='2022 Regression Curves'!$F$9,('2022 Regression Curves'!$B$9*C40)/('2022 Regression Curves'!$C$9+C40),('2022 Regression Curves'!$B$9*'2022 Regression Curves'!$F$9)/('2022 Regression Curves'!$C$9+'2022 Regression Curves'!$F$9)),($D$7*$D$8/0.88))</f>
        <v>0.22272727272727275</v>
      </c>
      <c r="I40" s="29">
        <f>IF(IF(C40&lt;='2022 Regression Curves'!$F$10,('2022 Regression Curves'!$B$10*C40)/('2022 Regression Curves'!$C$10+C40),('2022 Regression Curves'!$B$10*'2022 Regression Curves'!$F$10)/('2022 Regression Curves'!$C$10+'2022 Regression Curves'!$F$10))&lt;=($D$7*$D$8/0.88),IF(C40&lt;='2022 Regression Curves'!$F$10,('2022 Regression Curves'!$B$10*C40)/('2022 Regression Curves'!$C$10+C40),('2022 Regression Curves'!$B$10*'2022 Regression Curves'!$F$10)/('2022 Regression Curves'!$C$10+'2022 Regression Curves'!$F$10)),($D$7*$D$8/0.88))</f>
        <v>0.17344232814375629</v>
      </c>
      <c r="J40" s="29">
        <f>IF(IF(C40&lt;='2022 Regression Curves'!$F$11,('2022 Regression Curves'!$B$11*C40)/('2022 Regression Curves'!$C$11+C40),('2022 Regression Curves'!$B$11*'2022 Regression Curves'!$F$11)/('2022 Regression Curves'!$C$11+'2022 Regression Curves'!$F$11))&lt;=($D$7*$D$8/0.88),IF(C40&lt;='2022 Regression Curves'!$F$11,('2022 Regression Curves'!$B$11*C40)/('2022 Regression Curves'!$C$11+C40),('2022 Regression Curves'!$B$11*'2022 Regression Curves'!$F$11)/('2022 Regression Curves'!$C$11+'2022 Regression Curves'!$F$11)),($D$7*$D$8/0.88))</f>
        <v>0.14523363575581269</v>
      </c>
      <c r="K40" s="29">
        <f>IF(IF(C40&lt;='2022 Regression Curves'!$F$12,('2022 Regression Curves'!$B$12*C40)/('2022 Regression Curves'!$C$12+C40),('2022 Regression Curves'!$B$12*'2022 Regression Curves'!$F$12)/('2022 Regression Curves'!$C$12+'2022 Regression Curves'!$F$12))&lt;=($D$7*$D$8/0.88),IF(C40&lt;='2022 Regression Curves'!$F$12,('2022 Regression Curves'!$B$12*C40)/('2022 Regression Curves'!$C$12+C40),('2022 Regression Curves'!$B$12*'2022 Regression Curves'!$F$12)/('2022 Regression Curves'!$C$12+'2022 Regression Curves'!$F$12)),($D$7*$D$8/0.88))</f>
        <v>0.16627215518734484</v>
      </c>
    </row>
    <row r="41" spans="2:11" s="2" customFormat="1" ht="20.100000000000001" customHeight="1" x14ac:dyDescent="0.3">
      <c r="B41" s="105"/>
      <c r="C41" s="32">
        <v>2500</v>
      </c>
      <c r="D41" s="31"/>
      <c r="E41" s="31">
        <f>IF(IF(C41&lt;='2022 Regression Curves'!$F$6,('2022 Regression Curves'!$B$6*C41)/('2022 Regression Curves'!$C$6+C41),('2022 Regression Curves'!$B$6*'2022 Regression Curves'!$F$6)/('2022 Regression Curves'!$C$6+'2022 Regression Curves'!$F$6))&lt;=($D$7*$D$8/0.88),IF(C41&lt;='2022 Regression Curves'!$F$6,('2022 Regression Curves'!$B$6*C41)/('2022 Regression Curves'!$C$6+C41),('2022 Regression Curves'!$B$6*'2022 Regression Curves'!$F$6)/('2022 Regression Curves'!$C$6+'2022 Regression Curves'!$F$6)),($D$7*$D$8/0.88))</f>
        <v>0.17060824167494734</v>
      </c>
      <c r="F41" s="31"/>
      <c r="G41" s="31"/>
      <c r="H41" s="31"/>
      <c r="I41" s="31"/>
      <c r="J41" s="31">
        <f>IF(IF(C41&lt;='2022 Regression Curves'!$F$11,('2022 Regression Curves'!$B$11*C41)/('2022 Regression Curves'!$C$11+C41),('2022 Regression Curves'!$B$11*'2022 Regression Curves'!$F$11)/('2022 Regression Curves'!$C$11+'2022 Regression Curves'!$F$11))&lt;=($D$7*$D$8/0.88),IF(C41&lt;='2022 Regression Curves'!$F$11,('2022 Regression Curves'!$B$11*C41)/('2022 Regression Curves'!$C$11+C41),('2022 Regression Curves'!$B$11*'2022 Regression Curves'!$F$11)/('2022 Regression Curves'!$C$11+'2022 Regression Curves'!$F$11)),($D$7*$D$8/0.88))</f>
        <v>0.14863527441334384</v>
      </c>
      <c r="K41" s="31"/>
    </row>
    <row r="42" spans="2:11" s="2" customFormat="1" ht="20.100000000000001" customHeight="1" x14ac:dyDescent="0.3">
      <c r="B42" s="105"/>
      <c r="C42" s="30">
        <v>3000</v>
      </c>
      <c r="D42" s="29"/>
      <c r="E42" s="29">
        <f>IF(IF(C42&lt;='2022 Regression Curves'!$F$6,('2022 Regression Curves'!$B$6*C42)/('2022 Regression Curves'!$C$6+C42),('2022 Regression Curves'!$B$6*'2022 Regression Curves'!$F$6)/('2022 Regression Curves'!$C$6+'2022 Regression Curves'!$F$6))&lt;=($D$7*$D$8/0.88),IF(C42&lt;='2022 Regression Curves'!$F$6,('2022 Regression Curves'!$B$6*C42)/('2022 Regression Curves'!$C$6+C42),('2022 Regression Curves'!$B$6*'2022 Regression Curves'!$F$6)/('2022 Regression Curves'!$C$6+'2022 Regression Curves'!$F$6)),($D$7*$D$8/0.88))</f>
        <v>0.18183501726426196</v>
      </c>
      <c r="F42" s="29"/>
      <c r="G42" s="29"/>
      <c r="H42" s="29"/>
      <c r="I42" s="29"/>
      <c r="J42" s="29"/>
      <c r="K42" s="29"/>
    </row>
    <row r="43" spans="2:11" s="2" customFormat="1" ht="20.100000000000001" customHeight="1" x14ac:dyDescent="0.3">
      <c r="B43" s="105"/>
      <c r="C43" s="32">
        <v>3500</v>
      </c>
      <c r="D43" s="31"/>
      <c r="E43" s="31">
        <f>IF(IF(C43&lt;='2022 Regression Curves'!$F$6,('2022 Regression Curves'!$B$6*C43)/('2022 Regression Curves'!$C$6+C43),('2022 Regression Curves'!$B$6*'2022 Regression Curves'!$F$6)/('2022 Regression Curves'!$C$6+'2022 Regression Curves'!$F$6))&lt;=($D$7*$D$8/0.88),IF(C43&lt;='2022 Regression Curves'!$F$6,('2022 Regression Curves'!$B$6*C43)/('2022 Regression Curves'!$C$6+C43),('2022 Regression Curves'!$B$6*'2022 Regression Curves'!$F$6)/('2022 Regression Curves'!$C$6+'2022 Regression Curves'!$F$6)),($D$7*$D$8/0.88))</f>
        <v>0.19080337777298564</v>
      </c>
      <c r="F43" s="31"/>
      <c r="G43" s="31"/>
      <c r="H43" s="31"/>
      <c r="I43" s="31"/>
      <c r="J43" s="31"/>
      <c r="K43" s="31"/>
    </row>
    <row r="44" spans="2:11" s="2" customFormat="1" ht="20.100000000000001" customHeight="1" thickBot="1" x14ac:dyDescent="0.35">
      <c r="B44" s="106"/>
      <c r="C44" s="46">
        <v>4000</v>
      </c>
      <c r="D44" s="47"/>
      <c r="E44" s="47">
        <f>IF(IF(C44&lt;='2022 Regression Curves'!$F$6,('2022 Regression Curves'!$B$6*C44)/('2022 Regression Curves'!$C$6+C44),('2022 Regression Curves'!$B$6*'2022 Regression Curves'!$F$6)/('2022 Regression Curves'!$C$6+'2022 Regression Curves'!$F$6))&lt;=($D$7*$D$8/0.88),IF(C44&lt;='2022 Regression Curves'!$F$6,('2022 Regression Curves'!$B$6*C44)/('2022 Regression Curves'!$C$6+C44),('2022 Regression Curves'!$B$6*'2022 Regression Curves'!$F$6)/('2022 Regression Curves'!$C$6+'2022 Regression Curves'!$F$6)),($D$7*$D$8/0.88))</f>
        <v>0.19813250970648238</v>
      </c>
      <c r="F44" s="47"/>
      <c r="G44" s="47"/>
      <c r="H44" s="47"/>
      <c r="I44" s="47"/>
      <c r="J44" s="47"/>
      <c r="K44" s="47"/>
    </row>
    <row r="45" spans="2:11" s="2" customFormat="1" ht="20.100000000000001" customHeight="1" x14ac:dyDescent="0.3">
      <c r="B45" s="18">
        <v>1</v>
      </c>
      <c r="C45" s="58" t="s">
        <v>36</v>
      </c>
      <c r="D45" s="41"/>
      <c r="E45" s="41"/>
      <c r="F45" s="41"/>
      <c r="G45" s="41"/>
      <c r="H45" s="41"/>
      <c r="I45" s="41"/>
      <c r="J45" s="41"/>
      <c r="K45" s="41"/>
    </row>
    <row r="46" spans="2:11" s="2" customFormat="1" ht="20.100000000000001" customHeight="1" x14ac:dyDescent="0.3">
      <c r="C46" s="58" t="s">
        <v>37</v>
      </c>
      <c r="D46" s="41"/>
      <c r="E46" s="41"/>
      <c r="F46" s="41"/>
      <c r="G46" s="41"/>
      <c r="H46" s="41"/>
      <c r="I46" s="41"/>
      <c r="J46" s="41"/>
      <c r="K46" s="41"/>
    </row>
    <row r="47" spans="2:11" s="2" customFormat="1" ht="20.100000000000001" customHeight="1" x14ac:dyDescent="0.3">
      <c r="B47" s="18">
        <v>2</v>
      </c>
      <c r="C47" s="59" t="s">
        <v>32</v>
      </c>
      <c r="D47" s="41"/>
      <c r="E47" s="41"/>
      <c r="F47" s="41"/>
      <c r="G47" s="41"/>
      <c r="H47" s="41"/>
      <c r="I47" s="41"/>
      <c r="J47" s="41"/>
      <c r="K47" s="41"/>
    </row>
    <row r="48" spans="2:11" s="2" customFormat="1" ht="20.100000000000001" customHeight="1" x14ac:dyDescent="0.3"/>
    <row r="49" s="2" customFormat="1" ht="20.100000000000001" customHeight="1" x14ac:dyDescent="0.3"/>
    <row r="50" s="2" customFormat="1" ht="20.100000000000001" customHeight="1" x14ac:dyDescent="0.3"/>
    <row r="51" s="2" customFormat="1" ht="20.100000000000001" customHeight="1" x14ac:dyDescent="0.3"/>
    <row r="52" s="2" customFormat="1" ht="20.100000000000001" customHeight="1" x14ac:dyDescent="0.3"/>
    <row r="53" s="2" customFormat="1" ht="20.100000000000001" customHeight="1" x14ac:dyDescent="0.3"/>
    <row r="54" s="2" customFormat="1" ht="20.100000000000001" customHeight="1" x14ac:dyDescent="0.3"/>
    <row r="55" s="2" customFormat="1" ht="20.100000000000001" customHeight="1" x14ac:dyDescent="0.3"/>
    <row r="56" ht="20.100000000000001" customHeight="1" x14ac:dyDescent="0.3"/>
    <row r="57" ht="20.100000000000001" customHeight="1" x14ac:dyDescent="0.3"/>
    <row r="58" ht="20.100000000000001" customHeight="1" x14ac:dyDescent="0.3"/>
    <row r="59" ht="20.100000000000001" customHeight="1" x14ac:dyDescent="0.3"/>
  </sheetData>
  <sheetProtection sheet="1" objects="1" scenarios="1"/>
  <protectedRanges>
    <protectedRange sqref="D7:D8" name="Range1"/>
  </protectedRanges>
  <mergeCells count="5">
    <mergeCell ref="B29:B44"/>
    <mergeCell ref="B13:B28"/>
    <mergeCell ref="F6:H6"/>
    <mergeCell ref="D10:K10"/>
    <mergeCell ref="E2:K4"/>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8"/>
  <sheetViews>
    <sheetView zoomScale="80" zoomScaleNormal="80" workbookViewId="0">
      <selection activeCell="G18" sqref="G18"/>
    </sheetView>
  </sheetViews>
  <sheetFormatPr baseColWidth="10" defaultColWidth="10.8984375" defaultRowHeight="15.6" x14ac:dyDescent="0.3"/>
  <cols>
    <col min="1" max="1" width="1.3984375" style="3" customWidth="1"/>
    <col min="2" max="2" width="12.8984375" style="3" customWidth="1"/>
    <col min="3" max="4" width="10.8984375" style="3"/>
    <col min="5" max="5" width="24.5" style="3" customWidth="1"/>
    <col min="6" max="6" width="3.59765625" style="3" customWidth="1"/>
    <col min="7" max="7" width="28" style="3" customWidth="1"/>
    <col min="8" max="8" width="25" style="3" customWidth="1"/>
    <col min="9" max="9" width="33.59765625" style="3" customWidth="1"/>
    <col min="10" max="12" width="10.8984375" style="3"/>
    <col min="13" max="13" width="16.19921875" style="3" bestFit="1" customWidth="1"/>
    <col min="14" max="14" width="16.19921875" style="3" customWidth="1"/>
    <col min="15" max="15" width="4.8984375" style="3" customWidth="1"/>
    <col min="16" max="16" width="22" style="3" customWidth="1"/>
    <col min="17" max="17" width="15" style="3" customWidth="1"/>
    <col min="18" max="18" width="10.8984375" style="3" customWidth="1"/>
    <col min="19" max="16384" width="10.8984375" style="3"/>
  </cols>
  <sheetData>
    <row r="1" spans="2:11" s="1" customFormat="1" x14ac:dyDescent="0.3"/>
    <row r="2" spans="2:11" s="1" customFormat="1" ht="15.75" customHeight="1" x14ac:dyDescent="0.3">
      <c r="D2" s="3"/>
      <c r="E2" s="110" t="s">
        <v>200</v>
      </c>
      <c r="F2" s="110"/>
      <c r="G2" s="110"/>
      <c r="H2" s="110"/>
      <c r="I2" s="110"/>
      <c r="J2" s="110"/>
    </row>
    <row r="3" spans="2:11" s="1" customFormat="1" ht="31.5" customHeight="1" x14ac:dyDescent="0.3">
      <c r="D3" s="3"/>
      <c r="E3" s="110"/>
      <c r="F3" s="110"/>
      <c r="G3" s="110"/>
      <c r="H3" s="110"/>
      <c r="I3" s="110"/>
      <c r="J3" s="110"/>
    </row>
    <row r="4" spans="2:11" s="1" customFormat="1" ht="15.75" customHeight="1" x14ac:dyDescent="0.3">
      <c r="D4" s="3"/>
      <c r="E4" s="110"/>
      <c r="F4" s="110"/>
      <c r="G4" s="110"/>
      <c r="H4" s="110"/>
      <c r="I4" s="110"/>
      <c r="J4" s="110"/>
    </row>
    <row r="5" spans="2:11" s="1" customFormat="1" ht="15.75" customHeight="1" x14ac:dyDescent="0.3">
      <c r="D5" s="3"/>
      <c r="E5" s="110"/>
      <c r="F5" s="110"/>
      <c r="G5" s="110"/>
      <c r="H5" s="110"/>
      <c r="I5" s="110"/>
      <c r="J5" s="110"/>
    </row>
    <row r="6" spans="2:11" s="1" customFormat="1" ht="15.75" customHeight="1" x14ac:dyDescent="0.3">
      <c r="D6" s="3"/>
      <c r="E6" s="3"/>
      <c r="F6" s="3"/>
      <c r="G6" s="3"/>
      <c r="H6" s="3"/>
      <c r="I6" s="3"/>
    </row>
    <row r="7" spans="2:11" s="1" customFormat="1" ht="15.75" customHeight="1" x14ac:dyDescent="0.3">
      <c r="D7" s="3"/>
      <c r="E7" s="3"/>
      <c r="F7" s="3"/>
      <c r="G7" s="3"/>
      <c r="I7" s="111" t="s">
        <v>25</v>
      </c>
      <c r="J7" s="111"/>
      <c r="K7" s="3"/>
    </row>
    <row r="8" spans="2:11" s="1" customFormat="1" x14ac:dyDescent="0.3">
      <c r="D8" s="3"/>
      <c r="E8" s="3"/>
      <c r="F8" s="3"/>
      <c r="G8" s="3"/>
      <c r="H8" s="3"/>
      <c r="I8" s="3"/>
      <c r="J8" s="3"/>
      <c r="K8" s="3"/>
    </row>
    <row r="9" spans="2:11" s="1" customFormat="1" ht="17.399999999999999" x14ac:dyDescent="0.3">
      <c r="B9" s="113" t="s">
        <v>20</v>
      </c>
      <c r="C9" s="113"/>
      <c r="D9" s="113"/>
      <c r="E9" s="113"/>
      <c r="F9" s="3"/>
      <c r="G9" s="50">
        <v>0.25</v>
      </c>
      <c r="H9" s="25" t="s">
        <v>109</v>
      </c>
      <c r="J9" s="3"/>
      <c r="K9" s="3"/>
    </row>
    <row r="10" spans="2:11" s="1" customFormat="1" ht="18" x14ac:dyDescent="0.3">
      <c r="B10" s="60"/>
      <c r="C10" s="60"/>
      <c r="D10" s="60"/>
      <c r="E10" s="52" t="s">
        <v>121</v>
      </c>
      <c r="F10" s="3"/>
      <c r="G10" s="51">
        <v>0.7</v>
      </c>
      <c r="H10" s="3"/>
      <c r="I10" s="3"/>
      <c r="J10" s="3"/>
      <c r="K10" s="3"/>
    </row>
    <row r="11" spans="2:11" s="1" customFormat="1" ht="12" customHeight="1" x14ac:dyDescent="0.35">
      <c r="D11" s="3"/>
      <c r="E11" s="3"/>
      <c r="F11" s="3"/>
      <c r="G11" s="61"/>
      <c r="H11" s="3"/>
      <c r="I11" s="3"/>
      <c r="J11" s="3"/>
      <c r="K11" s="3"/>
    </row>
    <row r="12" spans="2:11" s="1" customFormat="1" ht="17.399999999999999" x14ac:dyDescent="0.3">
      <c r="B12" s="113" t="s">
        <v>18</v>
      </c>
      <c r="C12" s="113"/>
      <c r="D12" s="113"/>
      <c r="E12" s="113"/>
      <c r="F12" s="10"/>
      <c r="G12" s="62" t="s">
        <v>12</v>
      </c>
    </row>
    <row r="13" spans="2:11" s="1" customFormat="1" ht="17.399999999999999" x14ac:dyDescent="0.3">
      <c r="B13" s="113" t="s">
        <v>2</v>
      </c>
      <c r="C13" s="113"/>
      <c r="D13" s="113"/>
      <c r="E13" s="113"/>
      <c r="F13" s="10"/>
      <c r="G13" s="63">
        <v>2500</v>
      </c>
      <c r="H13" s="25" t="s">
        <v>34</v>
      </c>
    </row>
    <row r="14" spans="2:11" s="1" customFormat="1" ht="18" x14ac:dyDescent="0.35">
      <c r="B14" s="60"/>
      <c r="C14" s="60"/>
      <c r="D14" s="60"/>
      <c r="G14" s="49"/>
    </row>
    <row r="15" spans="2:11" ht="17.399999999999999" x14ac:dyDescent="0.3">
      <c r="E15" s="52" t="s">
        <v>28</v>
      </c>
      <c r="F15" s="11"/>
      <c r="G15" s="64">
        <f>VLOOKUP(G12,'2022 Regression Curves'!$A$5:$H$12,6,FALSE)</f>
        <v>1000</v>
      </c>
      <c r="H15" s="25" t="s">
        <v>130</v>
      </c>
    </row>
    <row r="16" spans="2:11" ht="17.399999999999999" x14ac:dyDescent="0.3">
      <c r="E16" s="52"/>
      <c r="F16" s="11"/>
      <c r="G16" s="2"/>
      <c r="H16" s="25"/>
    </row>
    <row r="17" spans="2:16" s="2" customFormat="1" ht="22.5" customHeight="1" x14ac:dyDescent="0.3">
      <c r="B17" s="113" t="s">
        <v>3</v>
      </c>
      <c r="C17" s="113"/>
      <c r="D17" s="113"/>
      <c r="E17" s="113"/>
      <c r="F17" s="10"/>
      <c r="G17" s="62">
        <v>1000</v>
      </c>
      <c r="H17" s="25" t="s">
        <v>26</v>
      </c>
      <c r="I17" s="66"/>
    </row>
    <row r="18" spans="2:16" s="2" customFormat="1" ht="22.5" customHeight="1" x14ac:dyDescent="0.3">
      <c r="B18" s="60"/>
      <c r="C18" s="60"/>
      <c r="D18" s="60"/>
      <c r="E18" s="60"/>
      <c r="F18" s="17"/>
      <c r="G18" s="64">
        <f>G17/2.2046</f>
        <v>453.59702440351987</v>
      </c>
      <c r="H18" s="25" t="s">
        <v>27</v>
      </c>
      <c r="I18" s="66"/>
    </row>
    <row r="19" spans="2:16" s="2" customFormat="1" ht="20.25" customHeight="1" x14ac:dyDescent="0.3">
      <c r="B19" s="23"/>
      <c r="C19" s="23"/>
      <c r="D19" s="23"/>
      <c r="E19" s="23"/>
      <c r="F19" s="4"/>
      <c r="G19" s="4"/>
      <c r="H19" s="25"/>
      <c r="I19" s="66"/>
    </row>
    <row r="20" spans="2:16" s="2" customFormat="1" ht="24" customHeight="1" x14ac:dyDescent="0.3">
      <c r="B20" s="112" t="s">
        <v>0</v>
      </c>
      <c r="C20" s="112"/>
      <c r="D20" s="112"/>
      <c r="E20" s="112"/>
      <c r="F20" s="11"/>
      <c r="G20" s="69">
        <f>(G17/G13)*907.194</f>
        <v>362.87760000000003</v>
      </c>
      <c r="H20" s="5"/>
      <c r="I20" s="25"/>
    </row>
    <row r="21" spans="2:16" s="2" customFormat="1" ht="24" customHeight="1" x14ac:dyDescent="0.3">
      <c r="B21" s="112" t="s">
        <v>1</v>
      </c>
      <c r="C21" s="112"/>
      <c r="D21" s="112"/>
      <c r="E21" s="112"/>
      <c r="F21" s="11"/>
      <c r="G21" s="70">
        <f>G20/453.592</f>
        <v>0.8000088184976808</v>
      </c>
      <c r="H21" s="25"/>
      <c r="I21" s="25"/>
    </row>
    <row r="22" spans="2:16" s="2" customFormat="1" ht="15.75" customHeight="1" x14ac:dyDescent="0.3">
      <c r="B22" s="52"/>
      <c r="C22" s="52"/>
      <c r="D22" s="52"/>
      <c r="E22" s="52"/>
      <c r="F22" s="11"/>
      <c r="H22" s="25"/>
      <c r="I22" s="25"/>
    </row>
    <row r="23" spans="2:16" s="2" customFormat="1" ht="18" x14ac:dyDescent="0.3">
      <c r="B23" s="52"/>
      <c r="C23" s="52"/>
      <c r="D23" s="52"/>
      <c r="E23" s="52" t="s">
        <v>122</v>
      </c>
      <c r="F23" s="11"/>
      <c r="G23" s="70">
        <f>G9*G10</f>
        <v>0.17499999999999999</v>
      </c>
      <c r="H23" s="25"/>
      <c r="I23" s="25"/>
    </row>
    <row r="24" spans="2:16" s="2" customFormat="1" ht="18" x14ac:dyDescent="0.3">
      <c r="B24" s="52"/>
      <c r="C24" s="52"/>
      <c r="D24" s="52"/>
      <c r="E24" s="52" t="s">
        <v>123</v>
      </c>
      <c r="F24" s="11"/>
      <c r="G24" s="70">
        <f>G23/0.88</f>
        <v>0.19886363636363635</v>
      </c>
      <c r="H24" s="25"/>
      <c r="I24" s="25"/>
    </row>
    <row r="25" spans="2:16" s="2" customFormat="1" ht="17.399999999999999" x14ac:dyDescent="0.3">
      <c r="B25" s="52"/>
      <c r="C25" s="52"/>
      <c r="D25" s="52"/>
      <c r="E25" s="52"/>
      <c r="F25" s="11"/>
      <c r="G25" s="11"/>
      <c r="H25" s="25"/>
      <c r="I25" s="25"/>
    </row>
    <row r="26" spans="2:16" s="2" customFormat="1" ht="24" customHeight="1" x14ac:dyDescent="0.3">
      <c r="B26" s="25"/>
      <c r="C26" s="25"/>
      <c r="D26" s="25"/>
      <c r="E26" s="25"/>
      <c r="H26" s="5" t="s">
        <v>21</v>
      </c>
      <c r="I26" s="5" t="s">
        <v>22</v>
      </c>
      <c r="N26" s="16"/>
    </row>
    <row r="27" spans="2:16" s="2" customFormat="1" ht="24" customHeight="1" x14ac:dyDescent="0.3">
      <c r="B27" s="112" t="s">
        <v>31</v>
      </c>
      <c r="C27" s="112"/>
      <c r="D27" s="112"/>
      <c r="E27" s="112"/>
      <c r="F27" s="11"/>
      <c r="G27" s="65">
        <f>IF(((VLOOKUP(G12,'2022 Regression Curves'!$A$5:$H$12,4,FALSE)*G17)/(VLOOKUP(G12,'2022 Regression Curves'!$A$5:$H$12,5,FALSE)+G17))&gt;G23,G23,IF(G17&lt;=VLOOKUP(G12,'2022 Regression Curves'!$A$5:$H$12,6,FALSE),((VLOOKUP(G12,'2022 Regression Curves'!$A$5:$H$12,4,FALSE)*G17)/(VLOOKUP(G12,'2022 Regression Curves'!$A$5:$H$12,5,FALSE)+G17)),((VLOOKUP(G12,'2022 Regression Curves'!$A$5:$H$12,4,FALSE)*VLOOKUP(G12,'2022 Regression Curves'!$A$5:$H$12,6,FALSE))/(VLOOKUP(G12,'2022 Regression Curves'!$A$5:$H$12,5,FALSE)+(VLOOKUP(G12,'2022 Regression Curves'!$A$5:$H$12,6,FALSE))))))</f>
        <v>0.16893597987677894</v>
      </c>
      <c r="H27" s="67" t="str">
        <f>IF(G27=G23,"Max release of Phytate P"," ")</f>
        <v xml:space="preserve"> </v>
      </c>
      <c r="I27" s="68" t="str">
        <f>IF(G17&gt;VLOOKUP(G12,'2022 Regression Curves'!$A$5:$H$12,6,FALSE),"Upper limit of phytase release data"," ")</f>
        <v xml:space="preserve"> </v>
      </c>
      <c r="N27" s="16"/>
    </row>
    <row r="28" spans="2:16" s="2" customFormat="1" ht="24" customHeight="1" x14ac:dyDescent="0.3">
      <c r="B28" s="112" t="s">
        <v>23</v>
      </c>
      <c r="C28" s="112"/>
      <c r="D28" s="112"/>
      <c r="E28" s="112"/>
      <c r="F28" s="11"/>
      <c r="G28" s="65">
        <f>IF(((VLOOKUP(G12,'2022 Regression Curves'!$A$5:$H$12,2,FALSE)*G17)/(VLOOKUP(G12,'2022 Regression Curves'!$A$5:$H$12,3,FALSE)+G17))&gt;G24,G24,IF(G17&lt;=VLOOKUP(G12,'2022 Regression Curves'!$A$5:$H$12,6,FALSE),((VLOOKUP(G12,'2022 Regression Curves'!$A$5:$H$12,2,FALSE)*G17)/(VLOOKUP(G12,'2022 Regression Curves'!$A$5:$H$12,3,FALSE)+G17)),((VLOOKUP(G12,'2022 Regression Curves'!$A$5:$H$12,2,FALSE)*VLOOKUP(G12,'2022 Regression Curves'!$A$5:$H$12,6,FALSE))/(VLOOKUP(G12,'2022 Regression Curves'!$A$5:$H$12,3,FALSE)+(VLOOKUP(G12,'2022 Regression Curves'!$A$5:$H$12,6,FALSE))))))</f>
        <v>0.1917814148779092</v>
      </c>
      <c r="H28" s="67" t="str">
        <f>IF(G28=G24,"Max release of Phytate P"," ")</f>
        <v xml:space="preserve"> </v>
      </c>
      <c r="I28" s="68" t="str">
        <f>IF(G17&gt;VLOOKUP(G12,'2022 Regression Curves'!$A$5:$H$12,6,FALSE),"Upper limit of phytase release data"," ")</f>
        <v xml:space="preserve"> </v>
      </c>
      <c r="N28" s="16"/>
      <c r="P28" s="11"/>
    </row>
    <row r="29" spans="2:16" s="2" customFormat="1" ht="24" customHeight="1" x14ac:dyDescent="0.3">
      <c r="N29" s="16"/>
      <c r="P29" s="11"/>
    </row>
    <row r="30" spans="2:16" s="2" customFormat="1" ht="24" customHeight="1" x14ac:dyDescent="0.3">
      <c r="F30" s="18">
        <v>1</v>
      </c>
      <c r="G30" s="23" t="s">
        <v>36</v>
      </c>
    </row>
    <row r="31" spans="2:16" s="2" customFormat="1" ht="24" customHeight="1" x14ac:dyDescent="0.3">
      <c r="G31" s="23" t="s">
        <v>37</v>
      </c>
    </row>
    <row r="32" spans="2:16" s="2" customFormat="1" ht="17.399999999999999" x14ac:dyDescent="0.3">
      <c r="F32" s="18">
        <v>2</v>
      </c>
      <c r="G32" s="23" t="s">
        <v>39</v>
      </c>
    </row>
    <row r="33" s="2" customFormat="1" ht="17.399999999999999" x14ac:dyDescent="0.3"/>
    <row r="34" s="2" customFormat="1" ht="17.399999999999999" x14ac:dyDescent="0.3"/>
    <row r="35" s="2" customFormat="1" ht="18" customHeight="1" x14ac:dyDescent="0.3"/>
    <row r="36" s="2" customFormat="1" ht="17.399999999999999" x14ac:dyDescent="0.3"/>
    <row r="37" s="2" customFormat="1" ht="17.399999999999999" x14ac:dyDescent="0.3"/>
    <row r="38" s="2" customFormat="1" ht="17.399999999999999" x14ac:dyDescent="0.3"/>
    <row r="39" s="2" customFormat="1" ht="17.399999999999999" x14ac:dyDescent="0.3"/>
    <row r="40" s="2" customFormat="1" ht="17.399999999999999" x14ac:dyDescent="0.3"/>
    <row r="41" s="2" customFormat="1" ht="17.399999999999999" x14ac:dyDescent="0.3"/>
    <row r="42" s="2" customFormat="1" ht="17.399999999999999" x14ac:dyDescent="0.3"/>
    <row r="43" s="2" customFormat="1" ht="17.399999999999999" x14ac:dyDescent="0.3"/>
    <row r="44" s="2" customFormat="1" ht="17.399999999999999" x14ac:dyDescent="0.3"/>
    <row r="45" s="2" customFormat="1" ht="17.399999999999999" x14ac:dyDescent="0.3"/>
    <row r="46" s="2" customFormat="1" ht="17.399999999999999" x14ac:dyDescent="0.3"/>
    <row r="47" s="2" customFormat="1" ht="17.399999999999999" x14ac:dyDescent="0.3"/>
    <row r="48" s="2" customFormat="1" ht="17.399999999999999" x14ac:dyDescent="0.3"/>
    <row r="49" spans="2:7" s="2" customFormat="1" ht="17.399999999999999" x14ac:dyDescent="0.3"/>
    <row r="50" spans="2:7" s="2" customFormat="1" ht="17.399999999999999" x14ac:dyDescent="0.3"/>
    <row r="51" spans="2:7" s="2" customFormat="1" ht="17.399999999999999" x14ac:dyDescent="0.3"/>
    <row r="52" spans="2:7" s="2" customFormat="1" ht="17.399999999999999" x14ac:dyDescent="0.3"/>
    <row r="53" spans="2:7" s="2" customFormat="1" ht="17.399999999999999" x14ac:dyDescent="0.3"/>
    <row r="54" spans="2:7" s="2" customFormat="1" ht="17.399999999999999" x14ac:dyDescent="0.3"/>
    <row r="55" spans="2:7" s="2" customFormat="1" ht="17.399999999999999" x14ac:dyDescent="0.3"/>
    <row r="56" spans="2:7" s="2" customFormat="1" ht="17.399999999999999" x14ac:dyDescent="0.3"/>
    <row r="57" spans="2:7" s="2" customFormat="1" ht="17.399999999999999" x14ac:dyDescent="0.3"/>
    <row r="58" spans="2:7" s="2" customFormat="1" ht="17.399999999999999" x14ac:dyDescent="0.3">
      <c r="B58" s="3"/>
      <c r="C58" s="3"/>
      <c r="D58" s="3"/>
      <c r="E58" s="3"/>
      <c r="F58" s="3"/>
      <c r="G58" s="3"/>
    </row>
  </sheetData>
  <sheetProtection sheet="1" objects="1" scenarios="1"/>
  <protectedRanges>
    <protectedRange sqref="G17" name="Range3"/>
    <protectedRange sqref="G12:G13" name="Range2"/>
    <protectedRange sqref="G9:G10" name="Range1"/>
  </protectedRanges>
  <mergeCells count="10">
    <mergeCell ref="E2:J5"/>
    <mergeCell ref="I7:J7"/>
    <mergeCell ref="B28:E28"/>
    <mergeCell ref="B9:E9"/>
    <mergeCell ref="B27:E27"/>
    <mergeCell ref="B13:E13"/>
    <mergeCell ref="B17:E17"/>
    <mergeCell ref="B12:E12"/>
    <mergeCell ref="B20:E20"/>
    <mergeCell ref="B21:E21"/>
  </mergeCells>
  <pageMargins left="0.7" right="0.7" top="0.75" bottom="0.75" header="0.3" footer="0.3"/>
  <pageSetup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14:formula1>
            <xm:f>'2022 Regression Curves'!$A$5:$A$12</xm:f>
          </x14:formula1>
          <xm:sqref>G12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8"/>
  <sheetViews>
    <sheetView zoomScale="80" zoomScaleNormal="80" workbookViewId="0">
      <selection activeCell="H25" sqref="H25"/>
    </sheetView>
  </sheetViews>
  <sheetFormatPr baseColWidth="10" defaultColWidth="10.8984375" defaultRowHeight="15.6" x14ac:dyDescent="0.3"/>
  <cols>
    <col min="1" max="1" width="1.3984375" style="3" customWidth="1"/>
    <col min="2" max="2" width="12.8984375" style="3" customWidth="1"/>
    <col min="3" max="4" width="10.8984375" style="3"/>
    <col min="5" max="5" width="24.5" style="3" customWidth="1"/>
    <col min="6" max="6" width="3.59765625" style="3" customWidth="1"/>
    <col min="7" max="7" width="52.5" style="3" customWidth="1"/>
    <col min="8" max="8" width="25" style="3" customWidth="1"/>
    <col min="9" max="9" width="33.59765625" style="3" customWidth="1"/>
    <col min="10" max="12" width="10.8984375" style="3"/>
    <col min="13" max="13" width="16.19921875" style="3" bestFit="1" customWidth="1"/>
    <col min="14" max="14" width="16.19921875" style="3" customWidth="1"/>
    <col min="15" max="15" width="4.8984375" style="3" customWidth="1"/>
    <col min="16" max="16" width="22" style="3" customWidth="1"/>
    <col min="17" max="17" width="15" style="3" hidden="1" customWidth="1"/>
    <col min="18" max="18" width="10.8984375" style="3" customWidth="1"/>
    <col min="19" max="16384" width="10.8984375" style="3"/>
  </cols>
  <sheetData>
    <row r="1" spans="2:17" s="1" customFormat="1" x14ac:dyDescent="0.3"/>
    <row r="2" spans="2:17" s="1" customFormat="1" ht="15.75" customHeight="1" x14ac:dyDescent="0.3">
      <c r="D2" s="3"/>
      <c r="E2" s="110" t="s">
        <v>201</v>
      </c>
      <c r="F2" s="110"/>
      <c r="G2" s="110"/>
      <c r="H2" s="110"/>
      <c r="I2" s="110"/>
      <c r="J2" s="110"/>
    </row>
    <row r="3" spans="2:17" s="1" customFormat="1" ht="31.5" customHeight="1" x14ac:dyDescent="0.3">
      <c r="D3" s="3"/>
      <c r="E3" s="110"/>
      <c r="F3" s="110"/>
      <c r="G3" s="110"/>
      <c r="H3" s="110"/>
      <c r="I3" s="110"/>
      <c r="J3" s="110"/>
    </row>
    <row r="4" spans="2:17" s="1" customFormat="1" ht="15.75" customHeight="1" x14ac:dyDescent="0.3">
      <c r="D4" s="3"/>
      <c r="E4" s="110"/>
      <c r="F4" s="110"/>
      <c r="G4" s="110"/>
      <c r="H4" s="110"/>
      <c r="I4" s="110"/>
      <c r="J4" s="110"/>
    </row>
    <row r="5" spans="2:17" s="1" customFormat="1" ht="15.75" customHeight="1" x14ac:dyDescent="0.3">
      <c r="D5" s="3"/>
      <c r="E5" s="110"/>
      <c r="F5" s="110"/>
      <c r="G5" s="110"/>
      <c r="H5" s="110"/>
      <c r="I5" s="110"/>
      <c r="J5" s="110"/>
      <c r="Q5" s="1" t="s">
        <v>126</v>
      </c>
    </row>
    <row r="6" spans="2:17" s="1" customFormat="1" ht="15.75" customHeight="1" x14ac:dyDescent="0.3">
      <c r="D6" s="3"/>
      <c r="E6" s="3"/>
      <c r="F6" s="3"/>
      <c r="G6" s="3"/>
      <c r="H6" s="3"/>
      <c r="I6" s="3"/>
      <c r="Q6" s="1" t="s">
        <v>127</v>
      </c>
    </row>
    <row r="7" spans="2:17" s="1" customFormat="1" ht="15.75" customHeight="1" x14ac:dyDescent="0.3">
      <c r="D7" s="3"/>
      <c r="E7" s="3"/>
      <c r="F7" s="3"/>
      <c r="G7" s="3"/>
      <c r="I7" s="111" t="s">
        <v>25</v>
      </c>
      <c r="J7" s="111"/>
      <c r="K7" s="3"/>
    </row>
    <row r="8" spans="2:17" s="1" customFormat="1" x14ac:dyDescent="0.3">
      <c r="D8" s="3"/>
      <c r="E8" s="3"/>
      <c r="F8" s="3"/>
      <c r="G8" s="3"/>
      <c r="H8" s="3"/>
      <c r="I8" s="3"/>
      <c r="J8" s="3"/>
      <c r="K8" s="3"/>
    </row>
    <row r="9" spans="2:17" s="1" customFormat="1" ht="17.399999999999999" x14ac:dyDescent="0.3">
      <c r="B9" s="113" t="s">
        <v>20</v>
      </c>
      <c r="C9" s="113"/>
      <c r="D9" s="113"/>
      <c r="E9" s="113"/>
      <c r="F9" s="3"/>
      <c r="G9" s="50">
        <v>0.25</v>
      </c>
      <c r="H9" s="25" t="s">
        <v>109</v>
      </c>
      <c r="J9" s="3"/>
      <c r="K9" s="3"/>
    </row>
    <row r="10" spans="2:17" s="1" customFormat="1" ht="18" x14ac:dyDescent="0.3">
      <c r="B10" s="60"/>
      <c r="C10" s="60"/>
      <c r="D10" s="60"/>
      <c r="E10" s="52" t="s">
        <v>121</v>
      </c>
      <c r="F10" s="3"/>
      <c r="G10" s="51">
        <v>0.7</v>
      </c>
      <c r="H10" s="3"/>
      <c r="I10" s="3"/>
      <c r="J10" s="3"/>
      <c r="K10" s="3"/>
    </row>
    <row r="11" spans="2:17" s="1" customFormat="1" ht="12" customHeight="1" x14ac:dyDescent="0.35">
      <c r="D11" s="3"/>
      <c r="E11" s="3"/>
      <c r="F11" s="3"/>
      <c r="G11" s="61"/>
      <c r="H11" s="3"/>
      <c r="I11" s="3"/>
      <c r="J11" s="3"/>
      <c r="K11" s="3"/>
    </row>
    <row r="12" spans="2:17" s="1" customFormat="1" ht="17.399999999999999" x14ac:dyDescent="0.3">
      <c r="B12" s="113" t="s">
        <v>18</v>
      </c>
      <c r="C12" s="113"/>
      <c r="D12" s="113"/>
      <c r="E12" s="113"/>
      <c r="F12" s="10"/>
      <c r="G12" s="62" t="s">
        <v>190</v>
      </c>
    </row>
    <row r="13" spans="2:17" s="1" customFormat="1" ht="17.399999999999999" x14ac:dyDescent="0.3">
      <c r="B13" s="113" t="s">
        <v>2</v>
      </c>
      <c r="C13" s="113"/>
      <c r="D13" s="113"/>
      <c r="E13" s="113"/>
      <c r="F13" s="10"/>
      <c r="G13" s="63">
        <v>2500</v>
      </c>
      <c r="H13" s="25" t="s">
        <v>34</v>
      </c>
    </row>
    <row r="14" spans="2:17" s="1" customFormat="1" ht="17.399999999999999" x14ac:dyDescent="0.3">
      <c r="B14" s="60"/>
      <c r="C14" s="60"/>
      <c r="D14" s="60"/>
      <c r="E14" s="60"/>
      <c r="F14" s="17"/>
      <c r="G14" s="60"/>
      <c r="H14" s="25"/>
    </row>
    <row r="15" spans="2:17" s="1" customFormat="1" ht="17.399999999999999" x14ac:dyDescent="0.3">
      <c r="B15" s="60"/>
      <c r="C15" s="60"/>
      <c r="D15" s="60"/>
      <c r="E15" s="52" t="s">
        <v>28</v>
      </c>
      <c r="F15" s="11"/>
      <c r="G15" s="64">
        <f>VLOOKUP(G12,'2022 Regression Curves'!$A$5:$H$12,6,FALSE)</f>
        <v>2000</v>
      </c>
      <c r="H15" s="25" t="s">
        <v>130</v>
      </c>
    </row>
    <row r="16" spans="2:17" s="1" customFormat="1" ht="17.399999999999999" x14ac:dyDescent="0.3">
      <c r="B16" s="60"/>
      <c r="C16" s="60"/>
      <c r="D16" s="60"/>
      <c r="E16" s="60"/>
      <c r="F16" s="17"/>
      <c r="H16" s="25"/>
    </row>
    <row r="17" spans="2:16" s="2" customFormat="1" ht="22.5" customHeight="1" x14ac:dyDescent="0.3">
      <c r="B17" s="113" t="s">
        <v>125</v>
      </c>
      <c r="C17" s="113"/>
      <c r="D17" s="113"/>
      <c r="E17" s="113"/>
      <c r="F17" s="10"/>
      <c r="G17" s="62" t="s">
        <v>126</v>
      </c>
      <c r="H17" s="25"/>
      <c r="I17" s="66"/>
    </row>
    <row r="18" spans="2:16" s="2" customFormat="1" ht="22.5" customHeight="1" x14ac:dyDescent="0.3">
      <c r="B18" s="60"/>
      <c r="C18" s="60"/>
      <c r="D18" s="60"/>
      <c r="E18" s="60" t="s">
        <v>128</v>
      </c>
      <c r="F18" s="17"/>
      <c r="G18" s="50">
        <v>0.14000000000000001</v>
      </c>
      <c r="H18" s="25"/>
      <c r="I18" s="66"/>
    </row>
    <row r="19" spans="2:16" s="2" customFormat="1" ht="18" x14ac:dyDescent="0.3">
      <c r="B19" s="60"/>
      <c r="C19" s="60"/>
      <c r="D19" s="60"/>
      <c r="E19" s="52" t="s">
        <v>129</v>
      </c>
      <c r="F19" s="11"/>
      <c r="G19" s="70" t="str">
        <f>ROUND(VLOOKUP(G17,$F$22:$G$23,2,FALSE),2)&amp;"%"&amp;" "&amp;G17</f>
        <v>0,2% Available P</v>
      </c>
      <c r="H19" s="25"/>
      <c r="I19" s="66"/>
    </row>
    <row r="20" spans="2:16" s="2" customFormat="1" ht="20.25" hidden="1" customHeight="1" x14ac:dyDescent="0.3">
      <c r="B20" s="23"/>
      <c r="C20" s="23"/>
      <c r="D20" s="23"/>
      <c r="E20" s="23"/>
      <c r="F20" s="4"/>
      <c r="G20" s="4"/>
      <c r="H20" s="25"/>
      <c r="I20" s="66"/>
    </row>
    <row r="21" spans="2:16" s="2" customFormat="1" ht="20.25" hidden="1" customHeight="1" x14ac:dyDescent="0.3">
      <c r="B21" s="23"/>
      <c r="C21" s="23"/>
      <c r="D21" s="23"/>
      <c r="E21" s="23"/>
      <c r="F21" s="17" t="s">
        <v>132</v>
      </c>
      <c r="G21" s="70">
        <f>ROUND(VLOOKUP(G17,$F$22:$G$23,2,FALSE),2)</f>
        <v>0.2</v>
      </c>
      <c r="H21" s="25"/>
      <c r="I21" s="66"/>
    </row>
    <row r="22" spans="2:16" s="2" customFormat="1" ht="18" hidden="1" x14ac:dyDescent="0.3">
      <c r="B22" s="52"/>
      <c r="C22" s="52"/>
      <c r="D22" s="52"/>
      <c r="F22" s="11" t="s">
        <v>127</v>
      </c>
      <c r="G22" s="70">
        <f>G9*G10</f>
        <v>0.17499999999999999</v>
      </c>
      <c r="H22" s="76" t="s">
        <v>122</v>
      </c>
      <c r="I22" s="25"/>
    </row>
    <row r="23" spans="2:16" s="2" customFormat="1" ht="18" hidden="1" x14ac:dyDescent="0.3">
      <c r="B23" s="52"/>
      <c r="C23" s="52"/>
      <c r="D23" s="52"/>
      <c r="F23" s="11" t="s">
        <v>126</v>
      </c>
      <c r="G23" s="70">
        <f>G22/0.88</f>
        <v>0.19886363636363635</v>
      </c>
      <c r="H23" s="76" t="s">
        <v>123</v>
      </c>
      <c r="I23" s="25"/>
    </row>
    <row r="24" spans="2:16" s="2" customFormat="1" ht="17.25" customHeight="1" x14ac:dyDescent="0.3">
      <c r="B24" s="25"/>
      <c r="C24" s="25"/>
      <c r="D24" s="25"/>
      <c r="E24" s="25"/>
      <c r="H24" s="5"/>
      <c r="I24" s="5"/>
      <c r="N24" s="16"/>
    </row>
    <row r="25" spans="2:16" s="2" customFormat="1" ht="24" customHeight="1" x14ac:dyDescent="0.3">
      <c r="B25" s="112" t="s">
        <v>131</v>
      </c>
      <c r="C25" s="112"/>
      <c r="D25" s="112"/>
      <c r="E25" s="112"/>
      <c r="F25" s="11"/>
      <c r="G25" s="72">
        <f>IF(G18&gt;G21,"Above max release of phytate P",IF(IF(G17=Q6,ROUNDUP(((G18*(VLOOKUP(G12,'2022 Regression Curves'!$A$5:$H$12,5,FALSE))/(VLOOKUP(G12,'2022 Regression Curves'!$A$5:$H$12,4,FALSE)-G18))),-1),((G18*(VLOOKUP(G12,'2022 Regression Curves'!$A$5:$H$12,3,FALSE))/(VLOOKUP(G12,'2022 Regression Curves'!$A$5:$H$12,2,FALSE)-G18))))&gt;G15,"Above max level of phytase providing release",IF(G17=Q6,ROUNDUP(((G18*(VLOOKUP(G12,'2022 Regression Curves'!$A$5:$H$12,5,FALSE))/(VLOOKUP(G12,'2022 Regression Curves'!$A$5:$H$12,4,FALSE)-G18))),-1),ROUNDUP(((G18*(VLOOKUP(G12,'2022 Regression Curves'!$A$5:$H$12,3,FALSE))/(VLOOKUP(G12,'2022 Regression Curves'!$A$5:$H$12,2,FALSE)-G18))),-1))))</f>
        <v>1490</v>
      </c>
      <c r="H25" s="77" t="str">
        <f>IF(G25="Above max release of phytate P","Max release of phytate P is"&amp;" "&amp;ROUND(G21,2)&amp;"%"&amp; " "&amp;G17,IF(G25="Above max level of phytase providing release","Max phytase dose providing release of phytate P based on available data is"&amp;" "&amp;G15&amp; " "&amp;"phytase units/kg"," "))</f>
        <v xml:space="preserve"> </v>
      </c>
      <c r="I25" s="25"/>
      <c r="N25" s="16"/>
    </row>
    <row r="26" spans="2:16" s="2" customFormat="1" ht="15.75" customHeight="1" x14ac:dyDescent="0.3">
      <c r="B26" s="52"/>
      <c r="C26" s="52"/>
      <c r="D26" s="52"/>
      <c r="E26" s="52"/>
      <c r="F26" s="11"/>
      <c r="G26" s="52"/>
      <c r="H26" s="74"/>
      <c r="I26" s="75"/>
      <c r="N26" s="16"/>
    </row>
    <row r="27" spans="2:16" s="2" customFormat="1" ht="24" customHeight="1" x14ac:dyDescent="0.3">
      <c r="B27" s="112" t="s">
        <v>0</v>
      </c>
      <c r="C27" s="112"/>
      <c r="D27" s="112"/>
      <c r="E27" s="112"/>
      <c r="F27" s="11"/>
      <c r="G27" s="69">
        <f>G25*0.453592*2000/G13</f>
        <v>540.68166399999996</v>
      </c>
      <c r="H27" s="5"/>
      <c r="I27" s="25"/>
    </row>
    <row r="28" spans="2:16" s="2" customFormat="1" ht="24" customHeight="1" x14ac:dyDescent="0.3">
      <c r="B28" s="112" t="s">
        <v>1</v>
      </c>
      <c r="C28" s="112"/>
      <c r="D28" s="112"/>
      <c r="E28" s="112"/>
      <c r="F28" s="11"/>
      <c r="G28" s="70">
        <f>G27/453.592</f>
        <v>1.1919999999999999</v>
      </c>
      <c r="H28" s="25"/>
      <c r="I28" s="25"/>
    </row>
    <row r="29" spans="2:16" s="2" customFormat="1" ht="24" customHeight="1" x14ac:dyDescent="0.3">
      <c r="N29" s="16"/>
      <c r="P29" s="11"/>
    </row>
    <row r="30" spans="2:16" s="2" customFormat="1" ht="24" customHeight="1" x14ac:dyDescent="0.3">
      <c r="F30" s="18">
        <v>1</v>
      </c>
      <c r="G30" s="23" t="s">
        <v>36</v>
      </c>
    </row>
    <row r="31" spans="2:16" s="2" customFormat="1" ht="24" customHeight="1" x14ac:dyDescent="0.3">
      <c r="G31" s="23" t="s">
        <v>37</v>
      </c>
    </row>
    <row r="32" spans="2:16" s="2" customFormat="1" ht="17.399999999999999" x14ac:dyDescent="0.3">
      <c r="F32" s="18">
        <v>2</v>
      </c>
      <c r="G32" s="23" t="s">
        <v>39</v>
      </c>
    </row>
    <row r="33" s="2" customFormat="1" ht="17.399999999999999" x14ac:dyDescent="0.3"/>
    <row r="34" s="2" customFormat="1" ht="17.399999999999999" x14ac:dyDescent="0.3"/>
    <row r="35" s="2" customFormat="1" ht="18" customHeight="1" x14ac:dyDescent="0.3"/>
    <row r="36" s="2" customFormat="1" ht="17.399999999999999" x14ac:dyDescent="0.3"/>
    <row r="37" s="2" customFormat="1" ht="17.399999999999999" x14ac:dyDescent="0.3"/>
    <row r="38" s="2" customFormat="1" ht="17.399999999999999" x14ac:dyDescent="0.3"/>
    <row r="39" s="2" customFormat="1" ht="17.399999999999999" x14ac:dyDescent="0.3"/>
    <row r="40" s="2" customFormat="1" ht="17.399999999999999" x14ac:dyDescent="0.3"/>
    <row r="41" s="2" customFormat="1" ht="17.399999999999999" x14ac:dyDescent="0.3"/>
    <row r="42" s="2" customFormat="1" ht="17.399999999999999" x14ac:dyDescent="0.3"/>
    <row r="43" s="2" customFormat="1" ht="17.399999999999999" x14ac:dyDescent="0.3"/>
    <row r="44" s="2" customFormat="1" ht="17.399999999999999" x14ac:dyDescent="0.3"/>
    <row r="45" s="2" customFormat="1" ht="17.399999999999999" x14ac:dyDescent="0.3"/>
    <row r="46" s="2" customFormat="1" ht="17.399999999999999" x14ac:dyDescent="0.3"/>
    <row r="47" s="2" customFormat="1" ht="17.399999999999999" x14ac:dyDescent="0.3"/>
    <row r="48" s="2" customFormat="1" ht="17.399999999999999" x14ac:dyDescent="0.3"/>
    <row r="49" spans="2:7" s="2" customFormat="1" ht="17.399999999999999" x14ac:dyDescent="0.3"/>
    <row r="50" spans="2:7" s="2" customFormat="1" ht="17.399999999999999" x14ac:dyDescent="0.3"/>
    <row r="51" spans="2:7" s="2" customFormat="1" ht="17.399999999999999" x14ac:dyDescent="0.3"/>
    <row r="52" spans="2:7" s="2" customFormat="1" ht="17.399999999999999" x14ac:dyDescent="0.3"/>
    <row r="53" spans="2:7" s="2" customFormat="1" ht="17.399999999999999" x14ac:dyDescent="0.3"/>
    <row r="54" spans="2:7" s="2" customFormat="1" ht="17.399999999999999" x14ac:dyDescent="0.3"/>
    <row r="55" spans="2:7" s="2" customFormat="1" ht="17.399999999999999" x14ac:dyDescent="0.3"/>
    <row r="56" spans="2:7" s="2" customFormat="1" ht="17.399999999999999" x14ac:dyDescent="0.3"/>
    <row r="57" spans="2:7" s="2" customFormat="1" ht="17.399999999999999" x14ac:dyDescent="0.3"/>
    <row r="58" spans="2:7" s="2" customFormat="1" ht="17.399999999999999" x14ac:dyDescent="0.3">
      <c r="B58" s="3"/>
      <c r="C58" s="3"/>
      <c r="D58" s="3"/>
      <c r="E58" s="3"/>
      <c r="F58" s="3"/>
      <c r="G58" s="3"/>
    </row>
  </sheetData>
  <sheetProtection sheet="1" objects="1" scenarios="1"/>
  <protectedRanges>
    <protectedRange sqref="G17:G18" name="Range3"/>
    <protectedRange sqref="G12:G14 G16" name="Range2"/>
    <protectedRange sqref="G9:G10" name="Range1"/>
  </protectedRanges>
  <mergeCells count="9">
    <mergeCell ref="B27:E27"/>
    <mergeCell ref="B28:E28"/>
    <mergeCell ref="B25:E25"/>
    <mergeCell ref="E2:J5"/>
    <mergeCell ref="I7:J7"/>
    <mergeCell ref="B9:E9"/>
    <mergeCell ref="B12:E12"/>
    <mergeCell ref="B13:E13"/>
    <mergeCell ref="B17:E17"/>
  </mergeCells>
  <dataValidations count="2">
    <dataValidation type="list" allowBlank="1" showInputMessage="1" showErrorMessage="1" sqref="G17">
      <formula1>$Q$5:$Q$6</formula1>
    </dataValidation>
    <dataValidation type="decimal" operator="lessThanOrEqual" allowBlank="1" showInputMessage="1" showErrorMessage="1" errorTitle="Error" error="Desired release is above maximum release from phytate P." promptTitle="Desired release" prompt="Desired release of P must be less than or equal to maximum release from phytate P listed below." sqref="G18">
      <formula1>G21</formula1>
    </dataValidation>
  </dataValidations>
  <pageMargins left="0.7" right="0.7" top="0.75" bottom="0.75" header="0.3" footer="0.3"/>
  <pageSetup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14:formula1>
            <xm:f>'2022 Regression Curves'!$A$5:$A$12</xm:f>
          </x14:formula1>
          <xm:sqref>G12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N43"/>
  <sheetViews>
    <sheetView topLeftCell="B1" zoomScale="80" zoomScaleNormal="80" workbookViewId="0">
      <selection activeCell="H9" sqref="H9:I9"/>
    </sheetView>
  </sheetViews>
  <sheetFormatPr baseColWidth="10" defaultColWidth="10.8984375" defaultRowHeight="15.6" x14ac:dyDescent="0.3"/>
  <cols>
    <col min="1" max="2" width="1.3984375" style="3" customWidth="1"/>
    <col min="3" max="3" width="12.8984375" style="3" customWidth="1"/>
    <col min="4" max="5" width="10.8984375" style="3"/>
    <col min="6" max="6" width="26.59765625" style="3" customWidth="1"/>
    <col min="7" max="7" width="3.59765625" style="3" customWidth="1"/>
    <col min="8" max="14" width="24" style="3" customWidth="1"/>
    <col min="15" max="15" width="16.19921875" style="3" bestFit="1" customWidth="1"/>
    <col min="16" max="16" width="16.19921875" style="3" customWidth="1"/>
    <col min="17" max="17" width="4.8984375" style="3" customWidth="1"/>
    <col min="18" max="18" width="22" style="3" customWidth="1"/>
    <col min="19" max="19" width="15" style="3" customWidth="1"/>
    <col min="20" max="20" width="10.8984375" style="3" customWidth="1"/>
    <col min="21" max="16384" width="10.8984375" style="3"/>
  </cols>
  <sheetData>
    <row r="1" spans="3:14" s="1" customFormat="1" x14ac:dyDescent="0.3"/>
    <row r="2" spans="3:14" s="1" customFormat="1" ht="15.75" customHeight="1" x14ac:dyDescent="0.3">
      <c r="E2" s="3"/>
      <c r="F2" s="114" t="s">
        <v>202</v>
      </c>
      <c r="G2" s="114"/>
      <c r="H2" s="114"/>
      <c r="I2" s="114"/>
      <c r="J2" s="114"/>
      <c r="K2" s="114"/>
      <c r="L2" s="114"/>
      <c r="M2" s="114"/>
      <c r="N2" s="114"/>
    </row>
    <row r="3" spans="3:14" s="1" customFormat="1" ht="31.5" customHeight="1" x14ac:dyDescent="0.3">
      <c r="E3" s="3"/>
      <c r="F3" s="114"/>
      <c r="G3" s="114"/>
      <c r="H3" s="114"/>
      <c r="I3" s="114"/>
      <c r="J3" s="114"/>
      <c r="K3" s="114"/>
      <c r="L3" s="114"/>
      <c r="M3" s="114"/>
      <c r="N3" s="114"/>
    </row>
    <row r="4" spans="3:14" s="1" customFormat="1" ht="15.75" customHeight="1" x14ac:dyDescent="0.3">
      <c r="E4" s="3"/>
      <c r="F4" s="114"/>
      <c r="G4" s="114"/>
      <c r="H4" s="114"/>
      <c r="I4" s="114"/>
      <c r="J4" s="114"/>
      <c r="K4" s="114"/>
      <c r="L4" s="114"/>
      <c r="M4" s="114"/>
      <c r="N4" s="114"/>
    </row>
    <row r="5" spans="3:14" s="1" customFormat="1" ht="15.75" customHeight="1" x14ac:dyDescent="0.3">
      <c r="E5" s="3"/>
      <c r="F5" s="114"/>
      <c r="G5" s="114"/>
      <c r="H5" s="114"/>
      <c r="I5" s="114"/>
      <c r="J5" s="114"/>
      <c r="K5" s="114"/>
      <c r="L5" s="114"/>
      <c r="M5" s="114"/>
      <c r="N5" s="114"/>
    </row>
    <row r="6" spans="3:14" s="1" customFormat="1" x14ac:dyDescent="0.3">
      <c r="E6" s="3"/>
      <c r="F6" s="3"/>
      <c r="G6" s="3"/>
      <c r="H6" s="3"/>
      <c r="I6" s="3"/>
      <c r="J6" s="3"/>
      <c r="K6" s="3"/>
      <c r="L6" s="3"/>
      <c r="M6" s="3"/>
    </row>
    <row r="7" spans="3:14" s="1" customFormat="1" ht="18.600000000000001" x14ac:dyDescent="0.35">
      <c r="C7" s="60"/>
      <c r="D7" s="60"/>
      <c r="E7" s="60"/>
      <c r="F7" s="52" t="s">
        <v>121</v>
      </c>
      <c r="G7" s="3"/>
      <c r="H7" s="115">
        <v>0.7</v>
      </c>
      <c r="I7" s="115"/>
      <c r="J7" s="49"/>
      <c r="K7" s="111" t="s">
        <v>25</v>
      </c>
      <c r="L7" s="111"/>
      <c r="M7" s="49"/>
      <c r="N7" s="49"/>
    </row>
    <row r="8" spans="3:14" s="1" customFormat="1" ht="12" customHeight="1" x14ac:dyDescent="0.35">
      <c r="E8" s="3"/>
      <c r="F8" s="3"/>
      <c r="G8" s="3"/>
      <c r="H8" s="61"/>
      <c r="I8" s="61"/>
      <c r="J8" s="61"/>
      <c r="K8" s="61"/>
      <c r="L8" s="61"/>
      <c r="M8" s="61"/>
      <c r="N8" s="49"/>
    </row>
    <row r="9" spans="3:14" s="1" customFormat="1" ht="18" x14ac:dyDescent="0.35">
      <c r="C9" s="113" t="s">
        <v>18</v>
      </c>
      <c r="D9" s="113"/>
      <c r="E9" s="113"/>
      <c r="F9" s="113"/>
      <c r="G9" s="10"/>
      <c r="H9" s="111" t="s">
        <v>6</v>
      </c>
      <c r="I9" s="111"/>
      <c r="J9" s="49"/>
      <c r="K9" s="49"/>
      <c r="L9" s="49"/>
      <c r="M9" s="49"/>
      <c r="N9" s="49"/>
    </row>
    <row r="10" spans="3:14" s="1" customFormat="1" ht="18" x14ac:dyDescent="0.35">
      <c r="C10" s="60"/>
      <c r="D10" s="60"/>
      <c r="E10" s="60"/>
      <c r="F10" s="71" t="s">
        <v>90</v>
      </c>
      <c r="H10" s="116">
        <v>130000</v>
      </c>
      <c r="I10" s="116"/>
      <c r="J10" s="49"/>
      <c r="K10" s="49"/>
      <c r="L10" s="49"/>
      <c r="M10" s="49"/>
      <c r="N10" s="49"/>
    </row>
    <row r="11" spans="3:14" s="1" customFormat="1" ht="18" x14ac:dyDescent="0.35">
      <c r="C11" s="60"/>
      <c r="D11" s="60"/>
      <c r="E11" s="60"/>
      <c r="H11" s="49"/>
      <c r="I11" s="49"/>
      <c r="J11" s="49"/>
      <c r="K11" s="49"/>
      <c r="L11" s="49"/>
      <c r="M11" s="49"/>
      <c r="N11" s="49"/>
    </row>
    <row r="12" spans="3:14" ht="18" x14ac:dyDescent="0.35">
      <c r="F12" s="52" t="s">
        <v>28</v>
      </c>
      <c r="G12" s="11"/>
      <c r="H12" s="117">
        <f>VLOOKUP(H9,'2022 Regression Curves'!$A$5:$H$12,6,FALSE)</f>
        <v>1500</v>
      </c>
      <c r="I12" s="117"/>
      <c r="J12" s="2" t="s">
        <v>29</v>
      </c>
      <c r="K12" s="61"/>
      <c r="L12" s="61"/>
      <c r="M12" s="61"/>
      <c r="N12" s="61"/>
    </row>
    <row r="13" spans="3:14" s="2" customFormat="1" ht="15.75" customHeight="1" x14ac:dyDescent="0.3">
      <c r="C13" s="52"/>
      <c r="D13" s="52"/>
      <c r="E13" s="52"/>
      <c r="F13" s="52"/>
      <c r="G13" s="11"/>
    </row>
    <row r="14" spans="3:14" s="2" customFormat="1" ht="18" x14ac:dyDescent="0.3">
      <c r="C14" s="52"/>
      <c r="D14" s="52"/>
      <c r="E14" s="52"/>
      <c r="F14" s="52" t="s">
        <v>122</v>
      </c>
      <c r="G14" s="11"/>
      <c r="H14" s="70">
        <f>H19*$H$7</f>
        <v>0.105</v>
      </c>
      <c r="I14" s="70">
        <f t="shared" ref="I14:J14" si="0">I19*$H$7</f>
        <v>0.154</v>
      </c>
      <c r="J14" s="70">
        <f t="shared" si="0"/>
        <v>0.16799999999999998</v>
      </c>
      <c r="K14" s="70">
        <f>K19*$H$7</f>
        <v>0.17499999999999999</v>
      </c>
      <c r="L14" s="70">
        <f t="shared" ref="L14:N14" si="1">L19*$H$7</f>
        <v>0.16799999999999998</v>
      </c>
      <c r="M14" s="70">
        <f>M19*$H$7</f>
        <v>0.16799999999999998</v>
      </c>
      <c r="N14" s="70">
        <f t="shared" si="1"/>
        <v>0.16799999999999998</v>
      </c>
    </row>
    <row r="15" spans="3:14" s="2" customFormat="1" ht="18" x14ac:dyDescent="0.3">
      <c r="C15" s="52"/>
      <c r="D15" s="52"/>
      <c r="E15" s="52"/>
      <c r="F15" s="52" t="s">
        <v>123</v>
      </c>
      <c r="G15" s="11"/>
      <c r="H15" s="70">
        <f>H14/0.88</f>
        <v>0.11931818181818181</v>
      </c>
      <c r="I15" s="70">
        <f t="shared" ref="I15:J15" si="2">I14/0.88</f>
        <v>0.17499999999999999</v>
      </c>
      <c r="J15" s="70">
        <f t="shared" si="2"/>
        <v>0.19090909090909089</v>
      </c>
      <c r="K15" s="70">
        <f>K14/0.88</f>
        <v>0.19886363636363635</v>
      </c>
      <c r="L15" s="70">
        <f t="shared" ref="L15:M15" si="3">L14/0.88</f>
        <v>0.19090909090909089</v>
      </c>
      <c r="M15" s="70">
        <f t="shared" si="3"/>
        <v>0.19090909090909089</v>
      </c>
      <c r="N15" s="70">
        <f t="shared" ref="N15" si="4">N14/0.88</f>
        <v>0.19090909090909089</v>
      </c>
    </row>
    <row r="16" spans="3:14" s="2" customFormat="1" ht="17.399999999999999" x14ac:dyDescent="0.3">
      <c r="C16" s="52"/>
      <c r="D16" s="52"/>
      <c r="E16" s="52"/>
      <c r="F16" s="52"/>
    </row>
    <row r="17" spans="3:14" s="2" customFormat="1" ht="17.399999999999999" x14ac:dyDescent="0.3">
      <c r="C17" s="25"/>
      <c r="D17" s="25"/>
      <c r="E17" s="25"/>
      <c r="F17" s="25"/>
      <c r="H17" s="16" t="s">
        <v>84</v>
      </c>
      <c r="I17" s="16" t="s">
        <v>85</v>
      </c>
      <c r="J17" s="16" t="s">
        <v>86</v>
      </c>
      <c r="K17" s="16" t="s">
        <v>91</v>
      </c>
      <c r="L17" s="16" t="s">
        <v>92</v>
      </c>
      <c r="M17" s="16" t="s">
        <v>93</v>
      </c>
      <c r="N17" s="16" t="s">
        <v>110</v>
      </c>
    </row>
    <row r="18" spans="3:14" s="2" customFormat="1" ht="17.399999999999999" x14ac:dyDescent="0.3">
      <c r="C18" s="25"/>
      <c r="D18" s="25"/>
      <c r="E18" s="25"/>
      <c r="F18" s="52" t="s">
        <v>87</v>
      </c>
      <c r="H18" s="62">
        <v>5</v>
      </c>
      <c r="I18" s="62">
        <v>5</v>
      </c>
      <c r="J18" s="62">
        <v>5</v>
      </c>
      <c r="K18" s="62">
        <v>3</v>
      </c>
      <c r="L18" s="62">
        <v>2.5</v>
      </c>
      <c r="M18" s="62">
        <v>2</v>
      </c>
      <c r="N18" s="62">
        <v>1.5</v>
      </c>
    </row>
    <row r="19" spans="3:14" s="2" customFormat="1" ht="18" x14ac:dyDescent="0.3">
      <c r="C19" s="25"/>
      <c r="D19" s="25"/>
      <c r="E19" s="25"/>
      <c r="F19" s="52" t="s">
        <v>124</v>
      </c>
      <c r="H19" s="62">
        <v>0.15</v>
      </c>
      <c r="I19" s="62">
        <v>0.22</v>
      </c>
      <c r="J19" s="62">
        <v>0.24</v>
      </c>
      <c r="K19" s="62">
        <v>0.25</v>
      </c>
      <c r="L19" s="62">
        <v>0.24</v>
      </c>
      <c r="M19" s="62">
        <v>0.24</v>
      </c>
      <c r="N19" s="62">
        <v>0.24</v>
      </c>
    </row>
    <row r="20" spans="3:14" s="2" customFormat="1" ht="17.399999999999999" x14ac:dyDescent="0.3">
      <c r="C20" s="25"/>
      <c r="D20" s="25"/>
      <c r="E20" s="25"/>
      <c r="F20" s="25"/>
      <c r="G20" s="11"/>
    </row>
    <row r="21" spans="3:14" s="2" customFormat="1" ht="17.399999999999999" x14ac:dyDescent="0.3">
      <c r="C21" s="25"/>
      <c r="D21" s="25"/>
      <c r="E21" s="25"/>
      <c r="F21" s="52" t="s">
        <v>88</v>
      </c>
      <c r="H21" s="72">
        <f>H22/0.453592</f>
        <v>716.50293655972769</v>
      </c>
      <c r="I21" s="72">
        <f t="shared" ref="I21:J21" si="5">I22/0.453592</f>
        <v>716.50293655972769</v>
      </c>
      <c r="J21" s="72">
        <f t="shared" si="5"/>
        <v>716.50293655972769</v>
      </c>
      <c r="K21" s="72">
        <f t="shared" ref="K21" si="6">K22/0.453592</f>
        <v>429.90176193583659</v>
      </c>
      <c r="L21" s="72">
        <f t="shared" ref="L21" si="7">L22/0.453592</f>
        <v>358.25146827986384</v>
      </c>
      <c r="M21" s="72">
        <f>M22/0.453592</f>
        <v>286.6011746238911</v>
      </c>
      <c r="N21" s="72">
        <f t="shared" ref="N21" si="8">N22/0.453592</f>
        <v>214.95088096791829</v>
      </c>
    </row>
    <row r="22" spans="3:14" s="2" customFormat="1" ht="17.399999999999999" x14ac:dyDescent="0.3">
      <c r="C22" s="25"/>
      <c r="D22" s="25"/>
      <c r="E22" s="25"/>
      <c r="F22" s="52" t="s">
        <v>89</v>
      </c>
      <c r="H22" s="72">
        <f>$H$10*H18/2000</f>
        <v>325</v>
      </c>
      <c r="I22" s="72">
        <f t="shared" ref="I22:J22" si="9">$H$10*I18/2000</f>
        <v>325</v>
      </c>
      <c r="J22" s="72">
        <f t="shared" si="9"/>
        <v>325</v>
      </c>
      <c r="K22" s="72">
        <f t="shared" ref="K22:N22" si="10">$H$10*K18/2000</f>
        <v>195</v>
      </c>
      <c r="L22" s="72">
        <f t="shared" si="10"/>
        <v>162.5</v>
      </c>
      <c r="M22" s="72">
        <f>$H$10*M18/2000</f>
        <v>130</v>
      </c>
      <c r="N22" s="72">
        <f t="shared" si="10"/>
        <v>97.5</v>
      </c>
    </row>
    <row r="23" spans="3:14" s="2" customFormat="1" ht="17.399999999999999" x14ac:dyDescent="0.3">
      <c r="C23" s="25"/>
      <c r="D23" s="25"/>
      <c r="E23" s="25"/>
      <c r="F23" s="25"/>
      <c r="G23" s="11"/>
    </row>
    <row r="24" spans="3:14" s="2" customFormat="1" ht="17.399999999999999" x14ac:dyDescent="0.3">
      <c r="C24" s="112" t="s">
        <v>31</v>
      </c>
      <c r="D24" s="112"/>
      <c r="E24" s="112"/>
      <c r="F24" s="112"/>
      <c r="G24" s="11"/>
      <c r="H24" s="65">
        <f>IF(((VLOOKUP($H$9,'2022 Regression Curves'!$A$5:$H$12,4,FALSE)*H21)/(VLOOKUP($H$9,'2022 Regression Curves'!$A$5:$H$12,5,FALSE)+H21))&gt;H14,H14,IF(H21&lt;=VLOOKUP($H$9,'2022 Regression Curves'!$A$5:$H$12,6,FALSE),((VLOOKUP($H$9,'2022 Regression Curves'!$A$5:$H$12,4,FALSE)*H21)/(VLOOKUP($H$9,'2022 Regression Curves'!$A$5:$H$12,5,FALSE)+H21)),((VLOOKUP($H$9,'2022 Regression Curves'!$A$5:$H$12,4,FALSE)*VLOOKUP($H$9,'2022 Regression Curves'!$A$5:$H$12,6,FALSE))/(VLOOKUP($H$9,'2022 Regression Curves'!$A$5:$H$12,5,FALSE)+(VLOOKUP($H$9,'2022 Regression Curves'!$A$5:$H$12,6,FALSE))))))</f>
        <v>0.105</v>
      </c>
      <c r="I24" s="65">
        <f>IF(((VLOOKUP($H$9,'2022 Regression Curves'!$A$5:$H$12,4,FALSE)*I21)/(VLOOKUP($H$9,'2022 Regression Curves'!$A$5:$H$12,5,FALSE)+I21))&gt;I14,I14,IF(I21&lt;=VLOOKUP($H$9,'2022 Regression Curves'!$A$5:$H$12,6,FALSE),((VLOOKUP($H$9,'2022 Regression Curves'!$A$5:$H$12,4,FALSE)*I21)/(VLOOKUP($H$9,'2022 Regression Curves'!$A$5:$H$12,5,FALSE)+I21)),((VLOOKUP($H$9,'2022 Regression Curves'!$A$5:$H$12,4,FALSE)*VLOOKUP($H$9,'2022 Regression Curves'!$A$5:$H$12,6,FALSE))/(VLOOKUP($H$9,'2022 Regression Curves'!$A$5:$H$12,5,FALSE)+(VLOOKUP($H$9,'2022 Regression Curves'!$A$5:$H$12,6,FALSE))))))</f>
        <v>0.13025949097002934</v>
      </c>
      <c r="J24" s="65">
        <f>IF(((VLOOKUP($H$9,'2022 Regression Curves'!$A$5:$H$12,4,FALSE)*J21)/(VLOOKUP($H$9,'2022 Regression Curves'!$A$5:$H$12,5,FALSE)+J21))&gt;J14,J14,IF(J21&lt;=VLOOKUP($H$9,'2022 Regression Curves'!$A$5:$H$12,6,FALSE),((VLOOKUP($H$9,'2022 Regression Curves'!$A$5:$H$12,4,FALSE)*J21)/(VLOOKUP($H$9,'2022 Regression Curves'!$A$5:$H$12,5,FALSE)+J21)),((VLOOKUP($H$9,'2022 Regression Curves'!$A$5:$H$12,4,FALSE)*VLOOKUP($H$9,'2022 Regression Curves'!$A$5:$H$12,6,FALSE))/(VLOOKUP($H$9,'2022 Regression Curves'!$A$5:$H$12,5,FALSE)+(VLOOKUP($H$9,'2022 Regression Curves'!$A$5:$H$12,6,FALSE))))))</f>
        <v>0.13025949097002934</v>
      </c>
      <c r="K24" s="65">
        <f>IF(((VLOOKUP($H$9,'2022 Regression Curves'!$A$5:$H$12,4,FALSE)*K21)/(VLOOKUP($H$9,'2022 Regression Curves'!$A$5:$H$12,5,FALSE)+K21))&gt;K14,K14,IF(K21&lt;=VLOOKUP($H$9,'2022 Regression Curves'!$A$5:$H$12,6,FALSE),((VLOOKUP($H$9,'2022 Regression Curves'!$A$5:$H$12,4,FALSE)*K21)/(VLOOKUP($H$9,'2022 Regression Curves'!$A$5:$H$12,5,FALSE)+K21)),((VLOOKUP($H$9,'2022 Regression Curves'!$A$5:$H$12,4,FALSE)*VLOOKUP($H$9,'2022 Regression Curves'!$A$5:$H$12,6,FALSE))/(VLOOKUP($H$9,'2022 Regression Curves'!$A$5:$H$12,5,FALSE)+(VLOOKUP($H$9,'2022 Regression Curves'!$A$5:$H$12,6,FALSE))))))</f>
        <v>0.10427697465629342</v>
      </c>
      <c r="L24" s="65">
        <f>IF(((VLOOKUP($H$9,'2022 Regression Curves'!$A$5:$H$12,4,FALSE)*L21)/(VLOOKUP($H$9,'2022 Regression Curves'!$A$5:$H$12,5,FALSE)+L21))&gt;L14,L14,IF(L21&lt;=VLOOKUP($H$9,'2022 Regression Curves'!$A$5:$H$12,6,FALSE),((VLOOKUP($H$9,'2022 Regression Curves'!$A$5:$H$12,4,FALSE)*L21)/(VLOOKUP($H$9,'2022 Regression Curves'!$A$5:$H$12,5,FALSE)+L21)),((VLOOKUP($H$9,'2022 Regression Curves'!$A$5:$H$12,4,FALSE)*VLOOKUP($H$9,'2022 Regression Curves'!$A$5:$H$12,6,FALSE))/(VLOOKUP($H$9,'2022 Regression Curves'!$A$5:$H$12,5,FALSE)+(VLOOKUP($H$9,'2022 Regression Curves'!$A$5:$H$12,6,FALSE))))))</f>
        <v>9.4820206675435975E-2</v>
      </c>
      <c r="M24" s="65">
        <f>IF(((VLOOKUP($H$9,'2022 Regression Curves'!$A$5:$H$12,4,FALSE)*M21)/(VLOOKUP($H$9,'2022 Regression Curves'!$A$5:$H$12,5,FALSE)+M21))&gt;M14,M14,IF(M21&lt;=VLOOKUP($H$9,'2022 Regression Curves'!$A$5:$H$12,6,FALSE),((VLOOKUP($H$9,'2022 Regression Curves'!$A$5:$H$12,4,FALSE)*M21)/(VLOOKUP($H$9,'2022 Regression Curves'!$A$5:$H$12,5,FALSE)+M21)),((VLOOKUP($H$9,'2022 Regression Curves'!$A$5:$H$12,4,FALSE)*VLOOKUP($H$9,'2022 Regression Curves'!$A$5:$H$12,6,FALSE))/(VLOOKUP($H$9,'2022 Regression Curves'!$A$5:$H$12,5,FALSE)+(VLOOKUP($H$9,'2022 Regression Curves'!$A$5:$H$12,6,FALSE))))))</f>
        <v>8.3466037373137819E-2</v>
      </c>
      <c r="N24" s="65">
        <f>IF(((VLOOKUP($H$9,'2022 Regression Curves'!$A$5:$H$12,4,FALSE)*N21)/(VLOOKUP($H$9,'2022 Regression Curves'!$A$5:$H$12,5,FALSE)+N21))&gt;N14,N14,IF(N21&lt;=VLOOKUP($H$9,'2022 Regression Curves'!$A$5:$H$12,6,FALSE),((VLOOKUP($H$9,'2022 Regression Curves'!$A$5:$H$12,4,FALSE)*N21)/(VLOOKUP($H$9,'2022 Regression Curves'!$A$5:$H$12,5,FALSE)+N21)),((VLOOKUP($H$9,'2022 Regression Curves'!$A$5:$H$12,4,FALSE)*VLOOKUP($H$9,'2022 Regression Curves'!$A$5:$H$12,6,FALSE))/(VLOOKUP($H$9,'2022 Regression Curves'!$A$5:$H$12,5,FALSE)+(VLOOKUP($H$9,'2022 Regression Curves'!$A$5:$H$12,6,FALSE))))))</f>
        <v>6.9579751783154342E-2</v>
      </c>
    </row>
    <row r="25" spans="3:14" s="2" customFormat="1" ht="17.399999999999999" x14ac:dyDescent="0.3">
      <c r="C25" s="112" t="s">
        <v>23</v>
      </c>
      <c r="D25" s="112"/>
      <c r="E25" s="112"/>
      <c r="F25" s="112"/>
      <c r="G25" s="11"/>
      <c r="H25" s="65">
        <f>IF(((VLOOKUP($H$9,'2022 Regression Curves'!$A$5:$H$12,2,FALSE)*H21)/(VLOOKUP($H$9,'2022 Regression Curves'!$A$5:$H$12,3,FALSE)+H21))&gt;H15,H15,IF(H21&lt;=VLOOKUP($H$9,'2022 Regression Curves'!$A$5:$H$12,6,FALSE),((VLOOKUP($H$9,'2022 Regression Curves'!$A$5:$H$12,2,FALSE)*H21)/(VLOOKUP($H$9,'2022 Regression Curves'!$A$5:$H$12,3,FALSE)+H21)),((VLOOKUP($H$9,'2022 Regression Curves'!$A$5:$H$12,2,FALSE)*VLOOKUP($H$9,'2022 Regression Curves'!$A$5:$H$12,6,FALSE))/(VLOOKUP($H$9,'2022 Regression Curves'!$A$5:$H$12,3,FALSE)+(VLOOKUP($H$9,'2022 Regression Curves'!$A$5:$H$12,6,FALSE))))))</f>
        <v>0.11931818181818181</v>
      </c>
      <c r="I25" s="65">
        <f>IF(((VLOOKUP($H$9,'2022 Regression Curves'!$A$5:$H$12,2,FALSE)*I21)/(VLOOKUP($H$9,'2022 Regression Curves'!$A$5:$H$12,3,FALSE)+I21))&gt;I15,I15,IF(I21&lt;=VLOOKUP($H$9,'2022 Regression Curves'!$A$5:$H$12,6,FALSE),((VLOOKUP($H$9,'2022 Regression Curves'!$A$5:$H$12,2,FALSE)*I21)/(VLOOKUP($H$9,'2022 Regression Curves'!$A$5:$H$12,3,FALSE)+I21)),((VLOOKUP($H$9,'2022 Regression Curves'!$A$5:$H$12,2,FALSE)*VLOOKUP($H$9,'2022 Regression Curves'!$A$5:$H$12,6,FALSE))/(VLOOKUP($H$9,'2022 Regression Curves'!$A$5:$H$12,3,FALSE)+(VLOOKUP($H$9,'2022 Regression Curves'!$A$5:$H$12,6,FALSE))))))</f>
        <v>0.1482917980645084</v>
      </c>
      <c r="J25" s="65">
        <f>IF(((VLOOKUP($H$9,'2022 Regression Curves'!$A$5:$H$12,2,FALSE)*J21)/(VLOOKUP($H$9,'2022 Regression Curves'!$A$5:$H$12,3,FALSE)+J21))&gt;J15,J15,IF(J21&lt;=VLOOKUP($H$9,'2022 Regression Curves'!$A$5:$H$12,6,FALSE),((VLOOKUP($H$9,'2022 Regression Curves'!$A$5:$H$12,2,FALSE)*J21)/(VLOOKUP($H$9,'2022 Regression Curves'!$A$5:$H$12,3,FALSE)+J21)),((VLOOKUP($H$9,'2022 Regression Curves'!$A$5:$H$12,2,FALSE)*VLOOKUP($H$9,'2022 Regression Curves'!$A$5:$H$12,6,FALSE))/(VLOOKUP($H$9,'2022 Regression Curves'!$A$5:$H$12,3,FALSE)+(VLOOKUP($H$9,'2022 Regression Curves'!$A$5:$H$12,6,FALSE))))))</f>
        <v>0.1482917980645084</v>
      </c>
      <c r="K25" s="65">
        <f>IF(((VLOOKUP($H$9,'2022 Regression Curves'!$A$5:$H$12,2,FALSE)*K21)/(VLOOKUP($H$9,'2022 Regression Curves'!$A$5:$H$12,3,FALSE)+K21))&gt;K15,K15,IF(K21&lt;=VLOOKUP($H$9,'2022 Regression Curves'!$A$5:$H$12,6,FALSE),((VLOOKUP($H$9,'2022 Regression Curves'!$A$5:$H$12,2,FALSE)*K21)/(VLOOKUP($H$9,'2022 Regression Curves'!$A$5:$H$12,3,FALSE)+K21)),((VLOOKUP($H$9,'2022 Regression Curves'!$A$5:$H$12,2,FALSE)*VLOOKUP($H$9,'2022 Regression Curves'!$A$5:$H$12,6,FALSE))/(VLOOKUP($H$9,'2022 Regression Curves'!$A$5:$H$12,3,FALSE)+(VLOOKUP($H$9,'2022 Regression Curves'!$A$5:$H$12,6,FALSE))))))</f>
        <v>0.11851175259297006</v>
      </c>
      <c r="L25" s="65">
        <f>IF(((VLOOKUP($H$9,'2022 Regression Curves'!$A$5:$H$12,2,FALSE)*L21)/(VLOOKUP($H$9,'2022 Regression Curves'!$A$5:$H$12,3,FALSE)+L21))&gt;L15,L15,IF(L21&lt;=VLOOKUP($H$9,'2022 Regression Curves'!$A$5:$H$12,6,FALSE),((VLOOKUP($H$9,'2022 Regression Curves'!$A$5:$H$12,2,FALSE)*L21)/(VLOOKUP($H$9,'2022 Regression Curves'!$A$5:$H$12,3,FALSE)+L21)),((VLOOKUP($H$9,'2022 Regression Curves'!$A$5:$H$12,2,FALSE)*VLOOKUP($H$9,'2022 Regression Curves'!$A$5:$H$12,6,FALSE))/(VLOOKUP($H$9,'2022 Regression Curves'!$A$5:$H$12,3,FALSE)+(VLOOKUP($H$9,'2022 Regression Curves'!$A$5:$H$12,6,FALSE))))))</f>
        <v>0.10769778641762652</v>
      </c>
      <c r="M25" s="65">
        <f>IF(((VLOOKUP($H$9,'2022 Regression Curves'!$A$5:$H$12,2,FALSE)*M21)/(VLOOKUP($H$9,'2022 Regression Curves'!$A$5:$H$12,3,FALSE)+M21))&gt;M15,M15,IF(M21&lt;=VLOOKUP($H$9,'2022 Regression Curves'!$A$5:$H$12,6,FALSE),((VLOOKUP($H$9,'2022 Regression Curves'!$A$5:$H$12,2,FALSE)*M21)/(VLOOKUP($H$9,'2022 Regression Curves'!$A$5:$H$12,3,FALSE)+M21)),((VLOOKUP($H$9,'2022 Regression Curves'!$A$5:$H$12,2,FALSE)*VLOOKUP($H$9,'2022 Regression Curves'!$A$5:$H$12,6,FALSE))/(VLOOKUP($H$9,'2022 Regression Curves'!$A$5:$H$12,3,FALSE)+(VLOOKUP($H$9,'2022 Regression Curves'!$A$5:$H$12,6,FALSE))))))</f>
        <v>9.4731666795927774E-2</v>
      </c>
      <c r="N25" s="65">
        <f>IF(((VLOOKUP($H$9,'2022 Regression Curves'!$A$5:$H$12,2,FALSE)*N21)/(VLOOKUP($H$9,'2022 Regression Curves'!$A$5:$H$12,3,FALSE)+N21))&gt;N15,N15,IF(N21&lt;=VLOOKUP($H$9,'2022 Regression Curves'!$A$5:$H$12,6,FALSE),((VLOOKUP($H$9,'2022 Regression Curves'!$A$5:$H$12,2,FALSE)*N21)/(VLOOKUP($H$9,'2022 Regression Curves'!$A$5:$H$12,3,FALSE)+N21)),((VLOOKUP($H$9,'2022 Regression Curves'!$A$5:$H$12,2,FALSE)*VLOOKUP($H$9,'2022 Regression Curves'!$A$5:$H$12,6,FALSE))/(VLOOKUP($H$9,'2022 Regression Curves'!$A$5:$H$12,3,FALSE)+(VLOOKUP($H$9,'2022 Regression Curves'!$A$5:$H$12,6,FALSE))))))</f>
        <v>7.8899928380057327E-2</v>
      </c>
    </row>
    <row r="26" spans="3:14" s="2" customFormat="1" ht="17.399999999999999" x14ac:dyDescent="0.3">
      <c r="C26" s="25"/>
      <c r="D26" s="25"/>
      <c r="E26" s="25"/>
      <c r="F26" s="52" t="s">
        <v>21</v>
      </c>
      <c r="H26" s="73" t="str">
        <f>IF(H25=H15,"Max release of Phytate P"," ")</f>
        <v>Max release of Phytate P</v>
      </c>
      <c r="I26" s="73" t="str">
        <f>IF(I25=I15,"Max release of Phytate P"," ")</f>
        <v xml:space="preserve"> </v>
      </c>
      <c r="J26" s="73" t="str">
        <f>IF(J25=J15,"Max release of Phytate P"," ")</f>
        <v xml:space="preserve"> </v>
      </c>
      <c r="K26" s="73" t="str">
        <f t="shared" ref="K26:N26" si="11">IF(K25=K15,"Max release of Phytate P"," ")</f>
        <v xml:space="preserve"> </v>
      </c>
      <c r="L26" s="73" t="str">
        <f t="shared" si="11"/>
        <v xml:space="preserve"> </v>
      </c>
      <c r="M26" s="73"/>
      <c r="N26" s="73" t="str">
        <f t="shared" si="11"/>
        <v xml:space="preserve"> </v>
      </c>
    </row>
    <row r="27" spans="3:14" s="2" customFormat="1" ht="17.399999999999999" x14ac:dyDescent="0.3">
      <c r="C27" s="25"/>
      <c r="D27" s="25"/>
      <c r="E27" s="25"/>
      <c r="F27" s="52" t="s">
        <v>22</v>
      </c>
      <c r="H27" s="73" t="str">
        <f>IF(H21&gt;VLOOKUP(H9,'2022 Regression Curves'!$A$5:$H$12,6,FALSE),"Upper limit of phytase release data"," ")</f>
        <v xml:space="preserve"> </v>
      </c>
      <c r="I27" s="73" t="str">
        <f>IF(I21&gt;VLOOKUP(H9,'2022 Regression Curves'!$A$5:$H$12,6,FALSE),"Upper limit of phytase release data"," ")</f>
        <v xml:space="preserve"> </v>
      </c>
      <c r="J27" s="73" t="str">
        <f>IF(J21&gt;VLOOKUP(H9,'2022 Regression Curves'!$A$5:$H$12,6,FALSE),"Upper limit of phytase release data"," ")</f>
        <v xml:space="preserve"> </v>
      </c>
      <c r="K27" s="73" t="str">
        <f>IF(K21&gt;VLOOKUP(H9,'2022 Regression Curves'!$A$5:$H$12,6,FALSE),"Upper limit of phytase release data"," ")</f>
        <v xml:space="preserve"> </v>
      </c>
      <c r="L27" s="73" t="str">
        <f>IF(L21&gt;VLOOKUP(H9,'2022 Regression Curves'!$A$5:$H$12,6,FALSE),"Upper limit of phytase release data"," ")</f>
        <v xml:space="preserve"> </v>
      </c>
      <c r="M27" s="73" t="str">
        <f>IF(M21&gt;VLOOKUP(H9,'2022 Regression Curves'!$A$5:$H$12,6,FALSE),"Upper limit of phytase release data"," ")</f>
        <v xml:space="preserve"> </v>
      </c>
      <c r="N27" s="73" t="str">
        <f>IF(N21&gt;VLOOKUP(H9,'2022 Regression Curves'!$A$5:$H$12,6,FALSE),"Upper limit of phytase release data"," ")</f>
        <v xml:space="preserve"> </v>
      </c>
    </row>
    <row r="28" spans="3:14" s="2" customFormat="1" ht="17.399999999999999" x14ac:dyDescent="0.3"/>
    <row r="29" spans="3:14" s="2" customFormat="1" ht="17.399999999999999" x14ac:dyDescent="0.3">
      <c r="G29" s="18">
        <v>1</v>
      </c>
      <c r="H29" s="23" t="s">
        <v>36</v>
      </c>
    </row>
    <row r="30" spans="3:14" s="2" customFormat="1" ht="17.399999999999999" x14ac:dyDescent="0.3">
      <c r="H30" s="23" t="s">
        <v>37</v>
      </c>
    </row>
    <row r="31" spans="3:14" s="2" customFormat="1" ht="17.399999999999999" x14ac:dyDescent="0.3">
      <c r="G31" s="18">
        <v>2</v>
      </c>
      <c r="H31" s="23" t="s">
        <v>39</v>
      </c>
    </row>
    <row r="32" spans="3:14" s="2" customFormat="1" ht="17.399999999999999" x14ac:dyDescent="0.3">
      <c r="G32" s="18">
        <v>3</v>
      </c>
      <c r="H32" s="23" t="s">
        <v>111</v>
      </c>
    </row>
    <row r="33" spans="3:8" s="2" customFormat="1" ht="17.399999999999999" x14ac:dyDescent="0.3"/>
    <row r="34" spans="3:8" s="2" customFormat="1" ht="17.399999999999999" x14ac:dyDescent="0.3"/>
    <row r="35" spans="3:8" s="2" customFormat="1" ht="17.399999999999999" x14ac:dyDescent="0.3"/>
    <row r="36" spans="3:8" s="2" customFormat="1" ht="17.399999999999999" x14ac:dyDescent="0.3"/>
    <row r="37" spans="3:8" s="2" customFormat="1" ht="17.399999999999999" x14ac:dyDescent="0.3"/>
    <row r="38" spans="3:8" s="2" customFormat="1" ht="17.399999999999999" x14ac:dyDescent="0.3"/>
    <row r="39" spans="3:8" s="2" customFormat="1" ht="17.399999999999999" x14ac:dyDescent="0.3"/>
    <row r="40" spans="3:8" s="2" customFormat="1" ht="17.399999999999999" x14ac:dyDescent="0.3"/>
    <row r="41" spans="3:8" s="2" customFormat="1" ht="17.399999999999999" x14ac:dyDescent="0.3"/>
    <row r="42" spans="3:8" s="2" customFormat="1" ht="17.399999999999999" x14ac:dyDescent="0.3"/>
    <row r="43" spans="3:8" s="2" customFormat="1" ht="17.399999999999999" x14ac:dyDescent="0.3">
      <c r="C43" s="3"/>
      <c r="D43" s="3"/>
      <c r="E43" s="3"/>
      <c r="F43" s="3"/>
      <c r="G43" s="3"/>
      <c r="H43" s="3"/>
    </row>
  </sheetData>
  <sheetProtection sheet="1" objects="1" scenarios="1"/>
  <protectedRanges>
    <protectedRange sqref="H18:N19" name="Range3"/>
    <protectedRange sqref="H9:I10" name="Range2"/>
    <protectedRange sqref="H7" name="Range1"/>
  </protectedRanges>
  <mergeCells count="9">
    <mergeCell ref="C24:F24"/>
    <mergeCell ref="C25:F25"/>
    <mergeCell ref="C9:F9"/>
    <mergeCell ref="F2:N5"/>
    <mergeCell ref="H7:I7"/>
    <mergeCell ref="H9:I9"/>
    <mergeCell ref="H10:I10"/>
    <mergeCell ref="H12:I12"/>
    <mergeCell ref="K7:L7"/>
  </mergeCells>
  <pageMargins left="0.25" right="0.25" top="0.75" bottom="0.75" header="0.3" footer="0.3"/>
  <pageSetup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14:formula1>
            <xm:f>'2022 Regression Curves'!$A$5:$A$12</xm:f>
          </x14:formula1>
          <xm:sqref>H9:I9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3:O55"/>
  <sheetViews>
    <sheetView workbookViewId="0"/>
  </sheetViews>
  <sheetFormatPr baseColWidth="10" defaultColWidth="9" defaultRowHeight="15.6" x14ac:dyDescent="0.3"/>
  <cols>
    <col min="1" max="4" width="9" style="3"/>
    <col min="5" max="5" width="42.69921875" style="3" bestFit="1" customWidth="1"/>
    <col min="6" max="6" width="14.69921875" style="3" bestFit="1" customWidth="1"/>
    <col min="7" max="7" width="14.69921875" style="3" customWidth="1"/>
    <col min="8" max="8" width="3.8984375" style="3" customWidth="1"/>
    <col min="9" max="9" width="42.69921875" style="3" bestFit="1" customWidth="1"/>
    <col min="10" max="10" width="14.69921875" style="3" customWidth="1"/>
    <col min="11" max="12" width="9" style="3"/>
    <col min="13" max="13" width="12" style="3" customWidth="1"/>
    <col min="14" max="14" width="26.3984375" style="3" customWidth="1"/>
    <col min="15" max="15" width="23.09765625" style="3" customWidth="1"/>
    <col min="16" max="16384" width="9" style="3"/>
  </cols>
  <sheetData>
    <row r="3" spans="5:15" ht="15.75" customHeight="1" x14ac:dyDescent="0.3">
      <c r="E3" s="114" t="s">
        <v>83</v>
      </c>
      <c r="F3" s="114"/>
      <c r="G3" s="114"/>
      <c r="H3" s="114"/>
      <c r="I3" s="114"/>
      <c r="J3" s="114"/>
      <c r="K3" s="114"/>
      <c r="L3" s="114"/>
      <c r="M3" s="114"/>
      <c r="N3" s="114"/>
      <c r="O3" s="114"/>
    </row>
    <row r="4" spans="5:15" ht="15.75" customHeight="1" x14ac:dyDescent="0.3">
      <c r="E4" s="114"/>
      <c r="F4" s="114"/>
      <c r="G4" s="114"/>
      <c r="H4" s="114"/>
      <c r="I4" s="114"/>
      <c r="J4" s="114"/>
      <c r="K4" s="114"/>
      <c r="L4" s="114"/>
      <c r="M4" s="114"/>
      <c r="N4" s="114"/>
      <c r="O4" s="114"/>
    </row>
    <row r="5" spans="5:15" ht="15.75" customHeight="1" x14ac:dyDescent="0.3">
      <c r="E5" s="114"/>
      <c r="F5" s="114"/>
      <c r="G5" s="114"/>
      <c r="H5" s="114"/>
      <c r="I5" s="114"/>
      <c r="J5" s="114"/>
      <c r="K5" s="114"/>
      <c r="L5" s="114"/>
      <c r="M5" s="114"/>
      <c r="N5" s="114"/>
      <c r="O5" s="114"/>
    </row>
    <row r="6" spans="5:15" ht="15.75" customHeight="1" x14ac:dyDescent="0.3">
      <c r="E6" s="114"/>
      <c r="F6" s="114"/>
      <c r="G6" s="114"/>
      <c r="H6" s="114"/>
      <c r="I6" s="114"/>
      <c r="J6" s="114"/>
      <c r="K6" s="114"/>
      <c r="L6" s="114"/>
      <c r="M6" s="114"/>
      <c r="N6" s="114"/>
      <c r="O6" s="114"/>
    </row>
    <row r="7" spans="5:15" ht="24.6" x14ac:dyDescent="0.4">
      <c r="E7" s="81"/>
      <c r="F7" s="81"/>
      <c r="G7" s="81"/>
      <c r="H7" s="81"/>
      <c r="I7" s="81"/>
      <c r="J7" s="81"/>
      <c r="K7" s="81"/>
      <c r="L7" s="81"/>
      <c r="M7" s="81"/>
    </row>
    <row r="8" spans="5:15" ht="23.4" x14ac:dyDescent="0.45">
      <c r="E8" s="119" t="s">
        <v>138</v>
      </c>
      <c r="F8" s="119"/>
      <c r="G8" s="119"/>
      <c r="I8" s="119" t="s">
        <v>185</v>
      </c>
      <c r="J8" s="119"/>
      <c r="K8" s="119"/>
      <c r="N8" s="120" t="s">
        <v>182</v>
      </c>
      <c r="O8" s="120"/>
    </row>
    <row r="9" spans="5:15" ht="18.600000000000001" thickBot="1" x14ac:dyDescent="0.35">
      <c r="E9" s="21" t="s">
        <v>81</v>
      </c>
      <c r="F9" s="14" t="s">
        <v>82</v>
      </c>
      <c r="G9" s="84" t="s">
        <v>139</v>
      </c>
      <c r="H9" s="12"/>
      <c r="I9" s="21" t="s">
        <v>81</v>
      </c>
      <c r="J9" s="14" t="s">
        <v>82</v>
      </c>
      <c r="K9" s="84" t="s">
        <v>139</v>
      </c>
      <c r="N9" s="118" t="s">
        <v>108</v>
      </c>
      <c r="O9" s="118"/>
    </row>
    <row r="10" spans="5:15" ht="18" thickBot="1" x14ac:dyDescent="0.35">
      <c r="E10" s="19" t="s">
        <v>40</v>
      </c>
      <c r="F10" s="12">
        <v>0.22</v>
      </c>
      <c r="G10" s="82">
        <v>17</v>
      </c>
      <c r="H10" s="12"/>
      <c r="I10" s="19" t="s">
        <v>140</v>
      </c>
      <c r="J10" s="12">
        <v>0.18</v>
      </c>
      <c r="K10" s="82">
        <v>55</v>
      </c>
      <c r="N10" s="21" t="s">
        <v>107</v>
      </c>
      <c r="O10" s="14" t="s">
        <v>82</v>
      </c>
    </row>
    <row r="11" spans="5:15" ht="17.399999999999999" x14ac:dyDescent="0.3">
      <c r="E11" s="20" t="s">
        <v>41</v>
      </c>
      <c r="F11" s="13">
        <v>0.26</v>
      </c>
      <c r="G11" s="83">
        <v>3</v>
      </c>
      <c r="H11" s="12"/>
      <c r="I11" s="20" t="s">
        <v>40</v>
      </c>
      <c r="J11" s="13">
        <v>0.2</v>
      </c>
      <c r="K11" s="83">
        <v>2</v>
      </c>
      <c r="N11" s="19" t="s">
        <v>94</v>
      </c>
      <c r="O11" s="12" t="s">
        <v>104</v>
      </c>
    </row>
    <row r="12" spans="5:15" ht="17.399999999999999" x14ac:dyDescent="0.3">
      <c r="E12" s="19" t="s">
        <v>42</v>
      </c>
      <c r="F12" s="12">
        <v>0.23</v>
      </c>
      <c r="G12" s="82">
        <v>1</v>
      </c>
      <c r="H12" s="12"/>
      <c r="I12" s="19" t="s">
        <v>141</v>
      </c>
      <c r="J12" s="12">
        <v>0.89</v>
      </c>
      <c r="K12" s="82">
        <v>10</v>
      </c>
      <c r="N12" s="20" t="s">
        <v>95</v>
      </c>
      <c r="O12" s="13" t="s">
        <v>101</v>
      </c>
    </row>
    <row r="13" spans="5:15" ht="17.399999999999999" x14ac:dyDescent="0.3">
      <c r="E13" s="20" t="s">
        <v>43</v>
      </c>
      <c r="F13" s="13">
        <v>0.35</v>
      </c>
      <c r="G13" s="83">
        <v>1</v>
      </c>
      <c r="H13" s="12"/>
      <c r="I13" s="20" t="s">
        <v>142</v>
      </c>
      <c r="J13" s="13">
        <v>0.87</v>
      </c>
      <c r="K13" s="83">
        <v>77</v>
      </c>
      <c r="N13" s="22" t="s">
        <v>96</v>
      </c>
      <c r="O13" s="8" t="s">
        <v>102</v>
      </c>
    </row>
    <row r="14" spans="5:15" ht="17.399999999999999" x14ac:dyDescent="0.3">
      <c r="E14" s="19" t="s">
        <v>44</v>
      </c>
      <c r="F14" s="12">
        <v>0.79</v>
      </c>
      <c r="G14" s="82">
        <v>1</v>
      </c>
      <c r="H14" s="12"/>
      <c r="I14" s="19" t="s">
        <v>143</v>
      </c>
      <c r="J14" s="12">
        <v>0.25</v>
      </c>
      <c r="K14" s="82">
        <v>3</v>
      </c>
      <c r="N14" s="20" t="s">
        <v>97</v>
      </c>
      <c r="O14" s="13" t="s">
        <v>105</v>
      </c>
    </row>
    <row r="15" spans="5:15" ht="17.399999999999999" x14ac:dyDescent="0.3">
      <c r="E15" s="20" t="s">
        <v>45</v>
      </c>
      <c r="F15" s="13">
        <v>0.87</v>
      </c>
      <c r="G15" s="83">
        <v>2</v>
      </c>
      <c r="H15" s="12"/>
      <c r="I15" s="20" t="s">
        <v>144</v>
      </c>
      <c r="J15" s="13">
        <v>0.22</v>
      </c>
      <c r="K15" s="83">
        <v>4</v>
      </c>
      <c r="N15" s="22" t="s">
        <v>98</v>
      </c>
      <c r="O15" s="8" t="s">
        <v>106</v>
      </c>
    </row>
    <row r="16" spans="5:15" ht="17.399999999999999" x14ac:dyDescent="0.3">
      <c r="E16" s="19" t="s">
        <v>46</v>
      </c>
      <c r="F16" s="12">
        <v>0.65</v>
      </c>
      <c r="G16" s="82">
        <v>5</v>
      </c>
      <c r="H16" s="12"/>
      <c r="I16" s="19" t="s">
        <v>145</v>
      </c>
      <c r="J16" s="12">
        <v>0.19</v>
      </c>
      <c r="K16" s="82">
        <v>33</v>
      </c>
      <c r="N16" s="20" t="s">
        <v>99</v>
      </c>
      <c r="O16" s="13">
        <v>0.23</v>
      </c>
    </row>
    <row r="17" spans="5:15" ht="18" thickBot="1" x14ac:dyDescent="0.35">
      <c r="E17" s="20" t="s">
        <v>47</v>
      </c>
      <c r="F17" s="13">
        <v>0.04</v>
      </c>
      <c r="G17" s="83">
        <v>1</v>
      </c>
      <c r="H17" s="12"/>
      <c r="I17" s="20" t="s">
        <v>150</v>
      </c>
      <c r="J17" s="13">
        <v>0.15</v>
      </c>
      <c r="K17" s="83">
        <v>6</v>
      </c>
      <c r="N17" s="21" t="s">
        <v>100</v>
      </c>
      <c r="O17" s="14" t="s">
        <v>103</v>
      </c>
    </row>
    <row r="18" spans="5:15" ht="17.399999999999999" x14ac:dyDescent="0.3">
      <c r="E18" s="19" t="s">
        <v>48</v>
      </c>
      <c r="F18" s="12">
        <v>0.04</v>
      </c>
      <c r="G18" s="82">
        <v>1</v>
      </c>
      <c r="H18" s="12"/>
      <c r="I18" s="19" t="s">
        <v>152</v>
      </c>
      <c r="J18" s="12">
        <v>0.32</v>
      </c>
      <c r="K18" s="82">
        <v>6</v>
      </c>
    </row>
    <row r="19" spans="5:15" ht="17.399999999999999" x14ac:dyDescent="0.3">
      <c r="E19" s="20" t="s">
        <v>49</v>
      </c>
      <c r="F19" s="13">
        <v>0.26</v>
      </c>
      <c r="G19" s="83">
        <v>1</v>
      </c>
      <c r="H19" s="12"/>
      <c r="I19" s="20" t="s">
        <v>151</v>
      </c>
      <c r="J19" s="13">
        <v>0.04</v>
      </c>
      <c r="K19" s="83">
        <v>1</v>
      </c>
    </row>
    <row r="20" spans="5:15" ht="17.399999999999999" x14ac:dyDescent="0.3">
      <c r="E20" s="19" t="s">
        <v>50</v>
      </c>
      <c r="F20" s="12">
        <v>0.21</v>
      </c>
      <c r="G20" s="82">
        <v>10</v>
      </c>
      <c r="H20" s="12"/>
      <c r="I20" s="19" t="s">
        <v>154</v>
      </c>
      <c r="J20" s="12">
        <v>0.11</v>
      </c>
      <c r="K20" s="82">
        <v>2</v>
      </c>
    </row>
    <row r="21" spans="5:15" ht="17.399999999999999" x14ac:dyDescent="0.3">
      <c r="E21" s="20" t="s">
        <v>51</v>
      </c>
      <c r="F21" s="13">
        <v>0.16</v>
      </c>
      <c r="G21" s="83">
        <v>2</v>
      </c>
      <c r="H21" s="12"/>
      <c r="I21" s="20" t="s">
        <v>146</v>
      </c>
      <c r="J21" s="13">
        <v>0.84</v>
      </c>
      <c r="K21" s="83">
        <v>3</v>
      </c>
    </row>
    <row r="22" spans="5:15" ht="17.399999999999999" x14ac:dyDescent="0.3">
      <c r="E22" s="19" t="s">
        <v>52</v>
      </c>
      <c r="F22" s="12">
        <v>0.26</v>
      </c>
      <c r="G22" s="82">
        <v>1</v>
      </c>
      <c r="H22" s="12"/>
      <c r="I22" s="19" t="s">
        <v>147</v>
      </c>
      <c r="J22" s="12">
        <v>0.54</v>
      </c>
      <c r="K22" s="82">
        <v>5</v>
      </c>
    </row>
    <row r="23" spans="5:15" ht="17.399999999999999" x14ac:dyDescent="0.3">
      <c r="E23" s="20" t="s">
        <v>53</v>
      </c>
      <c r="F23" s="13">
        <v>0.26</v>
      </c>
      <c r="G23" s="83" t="s">
        <v>183</v>
      </c>
      <c r="H23" s="12"/>
      <c r="I23" s="20" t="s">
        <v>148</v>
      </c>
      <c r="J23" s="13">
        <v>0.2</v>
      </c>
      <c r="K23" s="83">
        <v>3</v>
      </c>
    </row>
    <row r="24" spans="5:15" ht="17.399999999999999" x14ac:dyDescent="0.3">
      <c r="E24" s="19" t="s">
        <v>54</v>
      </c>
      <c r="F24" s="12">
        <v>0.26</v>
      </c>
      <c r="G24" s="82" t="s">
        <v>183</v>
      </c>
      <c r="H24" s="12"/>
      <c r="I24" s="19" t="s">
        <v>149</v>
      </c>
      <c r="J24" s="12">
        <v>0.47</v>
      </c>
      <c r="K24" s="82">
        <v>6</v>
      </c>
    </row>
    <row r="25" spans="5:15" ht="17.399999999999999" x14ac:dyDescent="0.3">
      <c r="E25" s="20" t="s">
        <v>55</v>
      </c>
      <c r="F25" s="13">
        <v>0.11</v>
      </c>
      <c r="G25" s="83">
        <v>1</v>
      </c>
      <c r="H25" s="12"/>
      <c r="I25" s="20" t="s">
        <v>153</v>
      </c>
      <c r="J25" s="13">
        <v>0.57999999999999996</v>
      </c>
      <c r="K25" s="83">
        <v>1</v>
      </c>
    </row>
    <row r="26" spans="5:15" ht="17.399999999999999" x14ac:dyDescent="0.3">
      <c r="E26" s="19" t="s">
        <v>56</v>
      </c>
      <c r="F26" s="12">
        <v>1.07</v>
      </c>
      <c r="G26" s="82">
        <v>1</v>
      </c>
      <c r="H26" s="12"/>
      <c r="I26" s="19" t="s">
        <v>155</v>
      </c>
      <c r="J26" s="12">
        <v>0.75</v>
      </c>
      <c r="K26" s="82">
        <v>2</v>
      </c>
    </row>
    <row r="27" spans="5:15" ht="17.399999999999999" x14ac:dyDescent="0.3">
      <c r="E27" s="20" t="s">
        <v>57</v>
      </c>
      <c r="F27" s="13">
        <v>0.62</v>
      </c>
      <c r="G27" s="83">
        <v>2</v>
      </c>
      <c r="H27" s="12"/>
      <c r="I27" s="20" t="s">
        <v>156</v>
      </c>
      <c r="J27" s="13">
        <v>0.17</v>
      </c>
      <c r="K27" s="83">
        <v>1</v>
      </c>
    </row>
    <row r="28" spans="5:15" ht="17.399999999999999" x14ac:dyDescent="0.3">
      <c r="E28" s="19" t="s">
        <v>58</v>
      </c>
      <c r="F28" s="12">
        <v>0.49</v>
      </c>
      <c r="G28" s="82">
        <v>1</v>
      </c>
      <c r="H28" s="12"/>
      <c r="I28" s="19" t="s">
        <v>157</v>
      </c>
      <c r="J28" s="12">
        <v>0.21</v>
      </c>
      <c r="K28" s="82">
        <v>5</v>
      </c>
    </row>
    <row r="29" spans="5:15" ht="17.399999999999999" x14ac:dyDescent="0.3">
      <c r="E29" s="20" t="s">
        <v>59</v>
      </c>
      <c r="F29" s="13">
        <v>0.21</v>
      </c>
      <c r="G29" s="83">
        <v>9</v>
      </c>
      <c r="H29" s="12"/>
      <c r="I29" s="20" t="s">
        <v>158</v>
      </c>
      <c r="J29" s="13">
        <v>0.04</v>
      </c>
      <c r="K29" s="83">
        <v>2</v>
      </c>
    </row>
    <row r="30" spans="5:15" ht="17.399999999999999" x14ac:dyDescent="0.3">
      <c r="E30" s="19" t="s">
        <v>60</v>
      </c>
      <c r="F30" s="12">
        <v>0.01</v>
      </c>
      <c r="G30" s="82">
        <v>1</v>
      </c>
      <c r="H30" s="12"/>
      <c r="I30" s="19" t="s">
        <v>61</v>
      </c>
      <c r="J30" s="12">
        <v>0.19</v>
      </c>
      <c r="K30" s="82">
        <v>1</v>
      </c>
    </row>
    <row r="31" spans="5:15" ht="17.399999999999999" x14ac:dyDescent="0.3">
      <c r="E31" s="20" t="s">
        <v>61</v>
      </c>
      <c r="F31" s="13">
        <v>0.19</v>
      </c>
      <c r="G31" s="83">
        <v>2</v>
      </c>
      <c r="H31" s="12"/>
      <c r="I31" s="20" t="s">
        <v>159</v>
      </c>
      <c r="J31" s="13">
        <v>0.36</v>
      </c>
      <c r="K31" s="83">
        <v>4</v>
      </c>
    </row>
    <row r="32" spans="5:15" ht="17.399999999999999" x14ac:dyDescent="0.3">
      <c r="E32" s="19" t="s">
        <v>62</v>
      </c>
      <c r="F32" s="12">
        <v>0.17</v>
      </c>
      <c r="G32" s="82">
        <v>7</v>
      </c>
      <c r="H32" s="12"/>
      <c r="I32" s="19" t="s">
        <v>160</v>
      </c>
      <c r="J32" s="12">
        <v>0.33</v>
      </c>
      <c r="K32" s="82">
        <v>3</v>
      </c>
    </row>
    <row r="33" spans="5:11" ht="17.399999999999999" x14ac:dyDescent="0.3">
      <c r="E33" s="20" t="s">
        <v>63</v>
      </c>
      <c r="F33" s="13">
        <v>0.18</v>
      </c>
      <c r="G33" s="83">
        <v>1</v>
      </c>
      <c r="H33" s="12"/>
      <c r="I33" s="20" t="s">
        <v>161</v>
      </c>
      <c r="J33" s="13">
        <v>0.09</v>
      </c>
      <c r="K33" s="83">
        <v>8</v>
      </c>
    </row>
    <row r="34" spans="5:11" ht="17.399999999999999" x14ac:dyDescent="0.3">
      <c r="E34" s="19" t="s">
        <v>64</v>
      </c>
      <c r="F34" s="12">
        <v>1.74</v>
      </c>
      <c r="G34" s="82">
        <v>3</v>
      </c>
      <c r="H34" s="12"/>
      <c r="I34" s="19" t="s">
        <v>162</v>
      </c>
      <c r="J34" s="12">
        <v>1.66</v>
      </c>
      <c r="K34" s="82">
        <v>3</v>
      </c>
    </row>
    <row r="35" spans="5:11" ht="17.399999999999999" x14ac:dyDescent="0.3">
      <c r="E35" s="20" t="s">
        <v>65</v>
      </c>
      <c r="F35" s="13">
        <v>0.14000000000000001</v>
      </c>
      <c r="G35" s="83">
        <v>1</v>
      </c>
      <c r="H35" s="12"/>
      <c r="I35" s="20" t="s">
        <v>163</v>
      </c>
      <c r="J35" s="13">
        <v>2.11</v>
      </c>
      <c r="K35" s="83">
        <v>3</v>
      </c>
    </row>
    <row r="36" spans="5:11" ht="17.399999999999999" x14ac:dyDescent="0.3">
      <c r="E36" s="19" t="s">
        <v>66</v>
      </c>
      <c r="F36" s="12">
        <v>0.2</v>
      </c>
      <c r="G36" s="82">
        <v>1</v>
      </c>
      <c r="H36" s="12"/>
      <c r="I36" s="19" t="s">
        <v>164</v>
      </c>
      <c r="J36" s="12">
        <v>0.56000000000000005</v>
      </c>
      <c r="K36" s="82">
        <v>1</v>
      </c>
    </row>
    <row r="37" spans="5:11" ht="17.399999999999999" x14ac:dyDescent="0.3">
      <c r="E37" s="20" t="s">
        <v>67</v>
      </c>
      <c r="F37" s="13">
        <v>0.89</v>
      </c>
      <c r="G37" s="83">
        <v>1</v>
      </c>
      <c r="H37" s="12"/>
      <c r="I37" s="20" t="s">
        <v>165</v>
      </c>
      <c r="J37" s="13">
        <v>0.06</v>
      </c>
      <c r="K37" s="83">
        <v>2</v>
      </c>
    </row>
    <row r="38" spans="5:11" ht="17.399999999999999" x14ac:dyDescent="0.3">
      <c r="E38" s="19" t="s">
        <v>68</v>
      </c>
      <c r="F38" s="12">
        <v>0.18</v>
      </c>
      <c r="G38" s="82">
        <v>2</v>
      </c>
      <c r="H38" s="12"/>
      <c r="I38" s="19" t="s">
        <v>166</v>
      </c>
      <c r="J38" s="12">
        <v>0.22</v>
      </c>
      <c r="K38" s="82">
        <v>2</v>
      </c>
    </row>
    <row r="39" spans="5:11" ht="17.399999999999999" x14ac:dyDescent="0.3">
      <c r="E39" s="20" t="s">
        <v>69</v>
      </c>
      <c r="F39" s="13">
        <v>0.33</v>
      </c>
      <c r="G39" s="83">
        <v>1</v>
      </c>
      <c r="H39" s="12"/>
      <c r="I39" s="20" t="s">
        <v>68</v>
      </c>
      <c r="J39" s="13">
        <v>0.23</v>
      </c>
      <c r="K39" s="83">
        <v>6</v>
      </c>
    </row>
    <row r="40" spans="5:11" ht="17.399999999999999" x14ac:dyDescent="0.3">
      <c r="E40" s="19" t="s">
        <v>70</v>
      </c>
      <c r="F40" s="12">
        <v>0.36</v>
      </c>
      <c r="G40" s="82">
        <v>4</v>
      </c>
      <c r="H40" s="12"/>
      <c r="I40" s="19" t="s">
        <v>167</v>
      </c>
      <c r="J40" s="12">
        <v>0.39</v>
      </c>
      <c r="K40" s="82">
        <v>1</v>
      </c>
    </row>
    <row r="41" spans="5:11" ht="17.399999999999999" x14ac:dyDescent="0.3">
      <c r="E41" s="20" t="s">
        <v>71</v>
      </c>
      <c r="F41" s="13">
        <v>0.38</v>
      </c>
      <c r="G41" s="83">
        <v>20</v>
      </c>
      <c r="H41" s="12"/>
      <c r="I41" s="20" t="s">
        <v>168</v>
      </c>
      <c r="J41" s="13">
        <v>0.44</v>
      </c>
      <c r="K41" s="83">
        <v>52</v>
      </c>
    </row>
    <row r="42" spans="5:11" ht="17.399999999999999" x14ac:dyDescent="0.3">
      <c r="E42" s="19" t="s">
        <v>72</v>
      </c>
      <c r="F42" s="12">
        <v>0.08</v>
      </c>
      <c r="G42" s="82">
        <v>1</v>
      </c>
      <c r="H42" s="12"/>
      <c r="I42" s="19" t="s">
        <v>169</v>
      </c>
      <c r="J42" s="12">
        <v>0.47</v>
      </c>
      <c r="K42" s="82">
        <v>30</v>
      </c>
    </row>
    <row r="43" spans="5:11" ht="17.399999999999999" x14ac:dyDescent="0.3">
      <c r="E43" s="20" t="s">
        <v>73</v>
      </c>
      <c r="F43" s="13">
        <v>0.84</v>
      </c>
      <c r="G43" s="83">
        <v>1</v>
      </c>
      <c r="H43" s="12"/>
      <c r="I43" s="20" t="s">
        <v>170</v>
      </c>
      <c r="J43" s="13">
        <v>0.38</v>
      </c>
      <c r="K43" s="83">
        <v>4</v>
      </c>
    </row>
    <row r="44" spans="5:11" ht="17.399999999999999" x14ac:dyDescent="0.3">
      <c r="E44" s="19" t="s">
        <v>74</v>
      </c>
      <c r="F44" s="12">
        <v>0.89</v>
      </c>
      <c r="G44" s="82">
        <v>1</v>
      </c>
      <c r="H44" s="12"/>
      <c r="I44" s="19" t="s">
        <v>171</v>
      </c>
      <c r="J44" s="12">
        <v>0.25</v>
      </c>
      <c r="K44" s="82">
        <v>7</v>
      </c>
    </row>
    <row r="45" spans="5:11" ht="17.399999999999999" x14ac:dyDescent="0.3">
      <c r="E45" s="20" t="s">
        <v>75</v>
      </c>
      <c r="F45" s="13">
        <v>0.21</v>
      </c>
      <c r="G45" s="83">
        <v>5</v>
      </c>
      <c r="H45" s="12"/>
      <c r="I45" s="20" t="s">
        <v>172</v>
      </c>
      <c r="J45" s="13">
        <v>0.04</v>
      </c>
      <c r="K45" s="83">
        <v>2</v>
      </c>
    </row>
    <row r="46" spans="5:11" ht="17.399999999999999" x14ac:dyDescent="0.3">
      <c r="E46" s="19" t="s">
        <v>76</v>
      </c>
      <c r="F46" s="12">
        <v>0.22</v>
      </c>
      <c r="G46" s="82">
        <v>14</v>
      </c>
      <c r="H46" s="12"/>
      <c r="I46" s="19" t="s">
        <v>173</v>
      </c>
      <c r="J46" s="12">
        <v>0.56000000000000005</v>
      </c>
      <c r="K46" s="82">
        <v>1</v>
      </c>
    </row>
    <row r="47" spans="5:11" ht="17.399999999999999" x14ac:dyDescent="0.3">
      <c r="E47" s="20" t="s">
        <v>77</v>
      </c>
      <c r="F47" s="13">
        <v>0.2</v>
      </c>
      <c r="G47" s="83">
        <v>4</v>
      </c>
      <c r="H47" s="12"/>
      <c r="I47" s="20" t="s">
        <v>174</v>
      </c>
      <c r="J47" s="13">
        <v>0.81</v>
      </c>
      <c r="K47" s="83">
        <v>9</v>
      </c>
    </row>
    <row r="48" spans="5:11" ht="17.399999999999999" x14ac:dyDescent="0.3">
      <c r="E48" s="19" t="s">
        <v>78</v>
      </c>
      <c r="F48" s="12">
        <v>0.88</v>
      </c>
      <c r="G48" s="82">
        <v>1</v>
      </c>
      <c r="H48" s="12"/>
      <c r="I48" s="19" t="s">
        <v>175</v>
      </c>
      <c r="J48" s="12">
        <v>0.51</v>
      </c>
      <c r="K48" s="82">
        <v>1</v>
      </c>
    </row>
    <row r="49" spans="5:11" ht="17.399999999999999" x14ac:dyDescent="0.3">
      <c r="E49" s="20" t="s">
        <v>79</v>
      </c>
      <c r="F49" s="13">
        <v>0.61</v>
      </c>
      <c r="G49" s="83">
        <v>1</v>
      </c>
      <c r="H49" s="12"/>
      <c r="I49" s="20" t="s">
        <v>75</v>
      </c>
      <c r="J49" s="13">
        <v>0.21</v>
      </c>
      <c r="K49" s="83">
        <v>1</v>
      </c>
    </row>
    <row r="50" spans="5:11" ht="18" thickBot="1" x14ac:dyDescent="0.35">
      <c r="E50" s="21" t="s">
        <v>80</v>
      </c>
      <c r="F50" s="14">
        <v>0.21</v>
      </c>
      <c r="G50" s="80">
        <v>2</v>
      </c>
      <c r="H50" s="12"/>
      <c r="I50" s="19" t="s">
        <v>176</v>
      </c>
      <c r="J50" s="12">
        <v>0.27</v>
      </c>
      <c r="K50" s="82">
        <v>2</v>
      </c>
    </row>
    <row r="51" spans="5:11" ht="17.399999999999999" x14ac:dyDescent="0.3">
      <c r="E51" s="3" t="s">
        <v>184</v>
      </c>
      <c r="I51" s="19" t="s">
        <v>177</v>
      </c>
      <c r="J51" s="12">
        <v>0.57999999999999996</v>
      </c>
      <c r="K51" s="82">
        <v>1</v>
      </c>
    </row>
    <row r="52" spans="5:11" ht="17.399999999999999" x14ac:dyDescent="0.3">
      <c r="I52" s="20" t="s">
        <v>178</v>
      </c>
      <c r="J52" s="13">
        <v>0.25</v>
      </c>
      <c r="K52" s="83">
        <v>2</v>
      </c>
    </row>
    <row r="53" spans="5:11" ht="17.399999999999999" x14ac:dyDescent="0.3">
      <c r="I53" s="19" t="s">
        <v>179</v>
      </c>
      <c r="J53" s="12">
        <v>0.32</v>
      </c>
      <c r="K53" s="82">
        <v>1</v>
      </c>
    </row>
    <row r="54" spans="5:11" ht="17.399999999999999" x14ac:dyDescent="0.3">
      <c r="I54" s="20" t="s">
        <v>180</v>
      </c>
      <c r="J54" s="13">
        <v>0.28999999999999998</v>
      </c>
      <c r="K54" s="83">
        <v>1</v>
      </c>
    </row>
    <row r="55" spans="5:11" ht="18" thickBot="1" x14ac:dyDescent="0.35">
      <c r="I55" s="21" t="s">
        <v>181</v>
      </c>
      <c r="J55" s="14">
        <v>7.0000000000000007E-2</v>
      </c>
      <c r="K55" s="80">
        <v>1</v>
      </c>
    </row>
  </sheetData>
  <sheetProtection sheet="1" objects="1" scenarios="1"/>
  <mergeCells count="5">
    <mergeCell ref="N9:O9"/>
    <mergeCell ref="I8:K8"/>
    <mergeCell ref="N8:O8"/>
    <mergeCell ref="E8:G8"/>
    <mergeCell ref="E3:O6"/>
  </mergeCells>
  <pageMargins left="0.25" right="0.25" top="0.75" bottom="0.75" header="0.3" footer="0.3"/>
  <pageSetup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5"/>
  <sheetViews>
    <sheetView workbookViewId="0">
      <selection activeCell="F23" sqref="F23"/>
    </sheetView>
  </sheetViews>
  <sheetFormatPr baseColWidth="10" defaultColWidth="9" defaultRowHeight="15.6" x14ac:dyDescent="0.3"/>
  <cols>
    <col min="1" max="1" width="17.3984375" bestFit="1" customWidth="1"/>
    <col min="7" max="7" width="13.5" bestFit="1" customWidth="1"/>
    <col min="8" max="8" width="17.19921875" bestFit="1" customWidth="1"/>
  </cols>
  <sheetData>
    <row r="1" spans="1:53" ht="23.4" x14ac:dyDescent="0.45">
      <c r="A1" s="15" t="s">
        <v>19</v>
      </c>
    </row>
    <row r="2" spans="1:53" x14ac:dyDescent="0.3">
      <c r="B2" s="122" t="s">
        <v>17</v>
      </c>
      <c r="C2" s="122"/>
      <c r="D2" s="122"/>
      <c r="E2" s="122"/>
    </row>
    <row r="3" spans="1:53" x14ac:dyDescent="0.3">
      <c r="B3" s="121" t="s">
        <v>9</v>
      </c>
      <c r="C3" s="121"/>
      <c r="D3" s="121" t="s">
        <v>10</v>
      </c>
      <c r="E3" s="121"/>
      <c r="Q3" s="6"/>
    </row>
    <row r="4" spans="1:53" x14ac:dyDescent="0.3">
      <c r="B4" s="7" t="s">
        <v>7</v>
      </c>
      <c r="C4" s="7" t="s">
        <v>8</v>
      </c>
      <c r="D4" s="7" t="s">
        <v>7</v>
      </c>
      <c r="E4" s="7" t="s">
        <v>8</v>
      </c>
      <c r="F4" s="7" t="s">
        <v>14</v>
      </c>
      <c r="G4" s="7" t="s">
        <v>15</v>
      </c>
      <c r="H4" s="7" t="s">
        <v>16</v>
      </c>
      <c r="O4" s="86">
        <v>200</v>
      </c>
      <c r="P4" s="86">
        <f>O4+100</f>
        <v>300</v>
      </c>
      <c r="Q4" s="86">
        <f t="shared" ref="Q4:BA4" si="0">P4+100</f>
        <v>400</v>
      </c>
      <c r="R4" s="86">
        <f t="shared" si="0"/>
        <v>500</v>
      </c>
      <c r="S4" s="86">
        <f t="shared" si="0"/>
        <v>600</v>
      </c>
      <c r="T4" s="86">
        <f t="shared" si="0"/>
        <v>700</v>
      </c>
      <c r="U4" s="86">
        <f t="shared" si="0"/>
        <v>800</v>
      </c>
      <c r="V4" s="86">
        <f t="shared" si="0"/>
        <v>900</v>
      </c>
      <c r="W4" s="86">
        <f t="shared" si="0"/>
        <v>1000</v>
      </c>
      <c r="X4" s="86">
        <f t="shared" si="0"/>
        <v>1100</v>
      </c>
      <c r="Y4" s="86">
        <f t="shared" si="0"/>
        <v>1200</v>
      </c>
      <c r="Z4" s="86">
        <f t="shared" si="0"/>
        <v>1300</v>
      </c>
      <c r="AA4" s="86">
        <f t="shared" si="0"/>
        <v>1400</v>
      </c>
      <c r="AB4" s="86">
        <f t="shared" si="0"/>
        <v>1500</v>
      </c>
      <c r="AC4" s="86">
        <f t="shared" si="0"/>
        <v>1600</v>
      </c>
      <c r="AD4" s="86">
        <f t="shared" si="0"/>
        <v>1700</v>
      </c>
      <c r="AE4" s="86">
        <f>AD4+100</f>
        <v>1800</v>
      </c>
      <c r="AF4" s="86">
        <f t="shared" si="0"/>
        <v>1900</v>
      </c>
      <c r="AG4" s="86">
        <f t="shared" si="0"/>
        <v>2000</v>
      </c>
      <c r="AH4" s="86">
        <f t="shared" si="0"/>
        <v>2100</v>
      </c>
      <c r="AI4" s="86">
        <f t="shared" si="0"/>
        <v>2200</v>
      </c>
      <c r="AJ4" s="86">
        <f t="shared" si="0"/>
        <v>2300</v>
      </c>
      <c r="AK4" s="86">
        <f t="shared" si="0"/>
        <v>2400</v>
      </c>
      <c r="AL4" s="86">
        <f t="shared" si="0"/>
        <v>2500</v>
      </c>
      <c r="AM4" s="86">
        <f t="shared" si="0"/>
        <v>2600</v>
      </c>
      <c r="AN4" s="86">
        <f t="shared" si="0"/>
        <v>2700</v>
      </c>
      <c r="AO4" s="86">
        <f t="shared" si="0"/>
        <v>2800</v>
      </c>
      <c r="AP4" s="86">
        <f t="shared" si="0"/>
        <v>2900</v>
      </c>
      <c r="AQ4" s="86">
        <f t="shared" si="0"/>
        <v>3000</v>
      </c>
      <c r="AR4" s="86">
        <f t="shared" si="0"/>
        <v>3100</v>
      </c>
      <c r="AS4" s="86">
        <f t="shared" si="0"/>
        <v>3200</v>
      </c>
      <c r="AT4" s="86">
        <f t="shared" si="0"/>
        <v>3300</v>
      </c>
      <c r="AU4" s="86">
        <f t="shared" si="0"/>
        <v>3400</v>
      </c>
      <c r="AV4" s="86">
        <f t="shared" si="0"/>
        <v>3500</v>
      </c>
      <c r="AW4" s="86">
        <f t="shared" si="0"/>
        <v>3600</v>
      </c>
      <c r="AX4" s="86">
        <f t="shared" si="0"/>
        <v>3700</v>
      </c>
      <c r="AY4" s="86">
        <f t="shared" si="0"/>
        <v>3800</v>
      </c>
      <c r="AZ4" s="86">
        <f t="shared" si="0"/>
        <v>3900</v>
      </c>
      <c r="BA4" s="86">
        <f t="shared" si="0"/>
        <v>4000</v>
      </c>
    </row>
    <row r="5" spans="1:53" x14ac:dyDescent="0.3">
      <c r="A5" t="s">
        <v>186</v>
      </c>
      <c r="B5" s="6">
        <v>0.33500000000000002</v>
      </c>
      <c r="C5" s="6">
        <v>491.452</v>
      </c>
      <c r="D5" s="87">
        <v>0.29499999999999998</v>
      </c>
      <c r="E5" s="87">
        <v>491.452</v>
      </c>
      <c r="F5" s="6">
        <v>2000</v>
      </c>
      <c r="G5" s="9">
        <f t="shared" ref="G5" si="1">(B5*F5)/(C5+F5)</f>
        <v>0.26891948951856182</v>
      </c>
      <c r="H5" s="9">
        <f>(D5*F5)/(E5+F5)</f>
        <v>0.23680969972530072</v>
      </c>
      <c r="M5" s="85">
        <f>MAX(O5:BA5)</f>
        <v>0.23680969972530072</v>
      </c>
      <c r="O5">
        <f>($D$5*O4)/($E$5+O4)</f>
        <v>8.5327687243655387E-2</v>
      </c>
      <c r="P5">
        <f t="shared" ref="P5:AG5" si="2">($D$5*P4)/($E$5+P4)</f>
        <v>0.11181979450427822</v>
      </c>
      <c r="Q5">
        <f t="shared" si="2"/>
        <v>0.13236831596092666</v>
      </c>
      <c r="R5">
        <f t="shared" si="2"/>
        <v>0.14877170049583843</v>
      </c>
      <c r="S5">
        <f t="shared" si="2"/>
        <v>0.16216929374814468</v>
      </c>
      <c r="T5">
        <f t="shared" si="2"/>
        <v>0.17331793475523982</v>
      </c>
      <c r="U5">
        <f t="shared" si="2"/>
        <v>0.18274004763630394</v>
      </c>
      <c r="V5">
        <f t="shared" si="2"/>
        <v>0.19080787551421105</v>
      </c>
      <c r="W5">
        <f t="shared" si="2"/>
        <v>0.19779382775979382</v>
      </c>
      <c r="X5">
        <f t="shared" si="2"/>
        <v>0.20390184561017236</v>
      </c>
      <c r="Y5">
        <f t="shared" si="2"/>
        <v>0.20928764162388291</v>
      </c>
      <c r="Z5">
        <f t="shared" si="2"/>
        <v>0.21407216045978347</v>
      </c>
      <c r="AA5">
        <f t="shared" si="2"/>
        <v>0.21835076967324574</v>
      </c>
      <c r="AB5">
        <f t="shared" si="2"/>
        <v>0.22219968143846802</v>
      </c>
      <c r="AC5">
        <f t="shared" si="2"/>
        <v>0.22568053199404048</v>
      </c>
      <c r="AD5">
        <f t="shared" si="2"/>
        <v>0.22884370727718423</v>
      </c>
      <c r="AE5">
        <f t="shared" si="2"/>
        <v>0.23173079776491062</v>
      </c>
      <c r="AF5">
        <f t="shared" si="2"/>
        <v>0.23437643741124636</v>
      </c>
      <c r="AG5">
        <f t="shared" si="2"/>
        <v>0.23680969972530072</v>
      </c>
    </row>
    <row r="6" spans="1:53" x14ac:dyDescent="0.3">
      <c r="A6" t="s">
        <v>13</v>
      </c>
      <c r="B6" s="6">
        <v>0.27100000000000002</v>
      </c>
      <c r="C6" s="6">
        <v>1471.086</v>
      </c>
      <c r="D6" s="87">
        <v>0.23799999999999999</v>
      </c>
      <c r="E6" s="87">
        <v>1471.086</v>
      </c>
      <c r="F6" s="6">
        <v>4000</v>
      </c>
      <c r="G6" s="9">
        <f t="shared" ref="G6:G11" si="3">(B6*F6)/(C6+F6)</f>
        <v>0.19813250970648238</v>
      </c>
      <c r="H6" s="9">
        <f t="shared" ref="H6:H11" si="4">(D6*F6)/(E6+F6)</f>
        <v>0.17400567273115428</v>
      </c>
      <c r="M6" s="85">
        <f t="shared" ref="M6:M11" si="5">MAX(O6:BA6)</f>
        <v>0.17400567273115428</v>
      </c>
      <c r="O6">
        <f>($D$6*O4)/($E$6+O4)</f>
        <v>2.8484470577815859E-2</v>
      </c>
      <c r="P6">
        <f t="shared" ref="P6:BA6" si="6">($D$6*P4)/($E$6+P4)</f>
        <v>4.0314247868257096E-2</v>
      </c>
      <c r="Q6">
        <f t="shared" si="6"/>
        <v>5.0879542682698703E-2</v>
      </c>
      <c r="R6">
        <f t="shared" si="6"/>
        <v>6.0372809709977139E-2</v>
      </c>
      <c r="S6">
        <f t="shared" si="6"/>
        <v>6.8949333827759918E-2</v>
      </c>
      <c r="T6">
        <f t="shared" si="6"/>
        <v>7.6735790291126177E-2</v>
      </c>
      <c r="U6">
        <f t="shared" si="6"/>
        <v>8.3836543398180405E-2</v>
      </c>
      <c r="V6">
        <f t="shared" si="6"/>
        <v>9.0338351287131705E-2</v>
      </c>
      <c r="W6">
        <f t="shared" si="6"/>
        <v>9.6313928369955545E-2</v>
      </c>
      <c r="X6">
        <f t="shared" si="6"/>
        <v>0.10182467642078094</v>
      </c>
      <c r="Y6">
        <f t="shared" si="6"/>
        <v>0.1069228021860771</v>
      </c>
      <c r="Z6">
        <f t="shared" si="6"/>
        <v>0.11165297648647496</v>
      </c>
      <c r="AA6">
        <f t="shared" si="6"/>
        <v>0.11605364659923108</v>
      </c>
      <c r="AB6">
        <f t="shared" si="6"/>
        <v>0.12015808360983155</v>
      </c>
      <c r="AC6">
        <f t="shared" si="6"/>
        <v>0.12399522514185533</v>
      </c>
      <c r="AD6">
        <f t="shared" si="6"/>
        <v>0.12759035863423443</v>
      </c>
      <c r="AE6">
        <f t="shared" si="6"/>
        <v>0.13096567928816299</v>
      </c>
      <c r="AF6">
        <f t="shared" si="6"/>
        <v>0.13414074870827974</v>
      </c>
      <c r="AG6">
        <f t="shared" si="6"/>
        <v>0.13713287426471138</v>
      </c>
      <c r="AH6">
        <f t="shared" si="6"/>
        <v>0.13995742471617875</v>
      </c>
      <c r="AI6">
        <f t="shared" si="6"/>
        <v>0.14262809424786016</v>
      </c>
      <c r="AJ6">
        <f t="shared" si="6"/>
        <v>0.14515712449941473</v>
      </c>
      <c r="AK6">
        <f t="shared" si="6"/>
        <v>0.14755549217971389</v>
      </c>
      <c r="AL6">
        <f t="shared" si="6"/>
        <v>0.14983306833445562</v>
      </c>
      <c r="AM6">
        <f t="shared" si="6"/>
        <v>0.15199875414078698</v>
      </c>
      <c r="AN6">
        <f t="shared" si="6"/>
        <v>0.15406059716821949</v>
      </c>
      <c r="AO6">
        <f t="shared" si="6"/>
        <v>0.15602589130726938</v>
      </c>
      <c r="AP6">
        <f t="shared" si="6"/>
        <v>0.15790126298132773</v>
      </c>
      <c r="AQ6">
        <f t="shared" si="6"/>
        <v>0.15969274578927803</v>
      </c>
      <c r="AR6">
        <f t="shared" si="6"/>
        <v>0.16140584535053593</v>
      </c>
      <c r="AS6">
        <f t="shared" si="6"/>
        <v>0.16304559582075773</v>
      </c>
      <c r="AT6">
        <f t="shared" si="6"/>
        <v>0.1646166093002725</v>
      </c>
      <c r="AU6">
        <f t="shared" si="6"/>
        <v>0.16612311915659053</v>
      </c>
      <c r="AV6">
        <f t="shared" si="6"/>
        <v>0.16756901811797259</v>
      </c>
      <c r="AW6">
        <f t="shared" si="6"/>
        <v>0.16895789185985013</v>
      </c>
      <c r="AX6">
        <f t="shared" si="6"/>
        <v>0.1702930486942201</v>
      </c>
      <c r="AY6">
        <f t="shared" si="6"/>
        <v>0.1715775458795398</v>
      </c>
      <c r="AZ6">
        <f t="shared" si="6"/>
        <v>0.17281421299156258</v>
      </c>
      <c r="BA6">
        <f t="shared" si="6"/>
        <v>0.17400567273115428</v>
      </c>
    </row>
    <row r="7" spans="1:53" x14ac:dyDescent="0.3">
      <c r="A7" t="s">
        <v>12</v>
      </c>
      <c r="B7" s="6">
        <v>0.31900000000000001</v>
      </c>
      <c r="C7" s="6">
        <v>663.35199999999998</v>
      </c>
      <c r="D7" s="87">
        <v>0.28100000000000003</v>
      </c>
      <c r="E7" s="87">
        <v>663.35199999999998</v>
      </c>
      <c r="F7" s="6">
        <v>1000</v>
      </c>
      <c r="G7" s="9">
        <f t="shared" si="3"/>
        <v>0.1917814148779092</v>
      </c>
      <c r="H7" s="9">
        <f t="shared" si="4"/>
        <v>0.16893597987677894</v>
      </c>
      <c r="M7" s="85">
        <f t="shared" si="5"/>
        <v>0.16893597987677894</v>
      </c>
      <c r="O7">
        <f>($D$7*O4)/($E$7+O4)</f>
        <v>6.5095117634522193E-2</v>
      </c>
      <c r="P7">
        <f t="shared" ref="P7:W7" si="7">($D$7*P4)/($E$7+P4)</f>
        <v>8.7506954882535168E-2</v>
      </c>
      <c r="Q7">
        <f t="shared" si="7"/>
        <v>0.10570347354403811</v>
      </c>
      <c r="R7">
        <f t="shared" si="7"/>
        <v>0.12077170108445252</v>
      </c>
      <c r="S7">
        <f t="shared" si="7"/>
        <v>0.13345449249298694</v>
      </c>
      <c r="T7">
        <f t="shared" si="7"/>
        <v>0.1442767531789296</v>
      </c>
      <c r="U7">
        <f t="shared" si="7"/>
        <v>0.15361990826540711</v>
      </c>
      <c r="V7">
        <f t="shared" si="7"/>
        <v>0.16176779125878243</v>
      </c>
      <c r="W7">
        <f t="shared" si="7"/>
        <v>0.16893597987677894</v>
      </c>
    </row>
    <row r="8" spans="1:53" x14ac:dyDescent="0.3">
      <c r="A8" t="s">
        <v>6</v>
      </c>
      <c r="B8" s="6">
        <v>0.23799999999999999</v>
      </c>
      <c r="C8" s="6">
        <v>433.44400000000002</v>
      </c>
      <c r="D8" s="87">
        <v>0.20799999999999999</v>
      </c>
      <c r="E8" s="87">
        <v>427.61799999999999</v>
      </c>
      <c r="F8" s="6">
        <v>1500</v>
      </c>
      <c r="G8" s="9">
        <f t="shared" si="3"/>
        <v>0.18464460310202935</v>
      </c>
      <c r="H8" s="9">
        <f t="shared" si="4"/>
        <v>0.16185779547607462</v>
      </c>
      <c r="M8" s="85">
        <f t="shared" si="5"/>
        <v>0.16185779547607462</v>
      </c>
      <c r="O8">
        <f>($D$8*O4)/($E$8+O4)</f>
        <v>6.6282356465238418E-2</v>
      </c>
      <c r="P8">
        <f t="shared" ref="P8:AB8" si="8">($D$8*P4)/($E$8+P4)</f>
        <v>8.5759285779076391E-2</v>
      </c>
      <c r="Q8">
        <f t="shared" si="8"/>
        <v>0.10052947132614323</v>
      </c>
      <c r="R8">
        <f t="shared" si="8"/>
        <v>0.11211511635177412</v>
      </c>
      <c r="S8">
        <f t="shared" si="8"/>
        <v>0.12144590694207381</v>
      </c>
      <c r="T8">
        <f t="shared" si="8"/>
        <v>0.1291217415826991</v>
      </c>
      <c r="U8">
        <f t="shared" si="8"/>
        <v>0.13554705128142469</v>
      </c>
      <c r="V8">
        <f t="shared" si="8"/>
        <v>0.14100441542672665</v>
      </c>
      <c r="W8">
        <f t="shared" si="8"/>
        <v>0.14569723833686604</v>
      </c>
      <c r="X8">
        <f t="shared" si="8"/>
        <v>0.14977566381124077</v>
      </c>
      <c r="Y8">
        <f t="shared" si="8"/>
        <v>0.15335293662272106</v>
      </c>
      <c r="Z8">
        <f t="shared" si="8"/>
        <v>0.15651608168009362</v>
      </c>
      <c r="AA8">
        <f t="shared" si="8"/>
        <v>0.1593330772623163</v>
      </c>
      <c r="AB8">
        <f t="shared" si="8"/>
        <v>0.16185779547607462</v>
      </c>
    </row>
    <row r="9" spans="1:53" x14ac:dyDescent="0.3">
      <c r="A9" t="s">
        <v>5</v>
      </c>
      <c r="B9" s="6">
        <v>0.26800000000000002</v>
      </c>
      <c r="C9" s="6">
        <v>390.245</v>
      </c>
      <c r="D9" s="87">
        <v>0.23599999999999999</v>
      </c>
      <c r="E9" s="87">
        <v>390.245</v>
      </c>
      <c r="F9" s="6">
        <v>2000</v>
      </c>
      <c r="G9" s="9">
        <f t="shared" si="3"/>
        <v>0.22424479498963495</v>
      </c>
      <c r="H9" s="9">
        <f t="shared" si="4"/>
        <v>0.19746929708042482</v>
      </c>
      <c r="M9" s="85">
        <f t="shared" si="5"/>
        <v>0.19746929708042482</v>
      </c>
      <c r="O9" s="88">
        <f>($D$9*O4)/($E$9+O4)</f>
        <v>7.9966793450177459E-2</v>
      </c>
      <c r="P9" s="88">
        <f t="shared" ref="P9:AG9" si="9">($D$9*P4)/($E$9+P4)</f>
        <v>0.10257227506175343</v>
      </c>
      <c r="Q9" s="88">
        <f t="shared" si="9"/>
        <v>0.11945662421147871</v>
      </c>
      <c r="R9" s="88">
        <f t="shared" si="9"/>
        <v>0.13254778179040602</v>
      </c>
      <c r="S9" s="88">
        <f t="shared" si="9"/>
        <v>0.14299491539972431</v>
      </c>
      <c r="T9" s="88">
        <f t="shared" si="9"/>
        <v>0.15152557452682655</v>
      </c>
      <c r="U9" s="88">
        <f t="shared" si="9"/>
        <v>0.15862280454864336</v>
      </c>
      <c r="V9" s="88">
        <f t="shared" si="9"/>
        <v>0.1646198977713535</v>
      </c>
      <c r="W9" s="88">
        <f t="shared" si="9"/>
        <v>0.16975425194839761</v>
      </c>
      <c r="X9" s="88">
        <f t="shared" si="9"/>
        <v>0.174199544370221</v>
      </c>
      <c r="Y9" s="88">
        <f t="shared" si="9"/>
        <v>0.17808576665859663</v>
      </c>
      <c r="Z9" s="88">
        <f t="shared" si="9"/>
        <v>0.18151214764723458</v>
      </c>
      <c r="AA9" s="88">
        <f t="shared" si="9"/>
        <v>0.1845557451633715</v>
      </c>
      <c r="AB9" s="88">
        <f t="shared" si="9"/>
        <v>0.18727731061317449</v>
      </c>
      <c r="AC9" s="88">
        <f t="shared" si="9"/>
        <v>0.18972538556810845</v>
      </c>
      <c r="AD9" s="88">
        <f t="shared" si="9"/>
        <v>0.19193922243564751</v>
      </c>
      <c r="AE9" s="88">
        <f t="shared" si="9"/>
        <v>0.193950905035738</v>
      </c>
      <c r="AF9" s="88">
        <f t="shared" si="9"/>
        <v>0.1957869136271447</v>
      </c>
      <c r="AG9" s="88">
        <f t="shared" si="9"/>
        <v>0.19746929708042482</v>
      </c>
    </row>
    <row r="10" spans="1:53" x14ac:dyDescent="0.3">
      <c r="A10" t="s">
        <v>11</v>
      </c>
      <c r="B10" s="6">
        <v>0.20899999999999999</v>
      </c>
      <c r="C10" s="6">
        <v>410.02300000000002</v>
      </c>
      <c r="D10" s="87">
        <v>0.184</v>
      </c>
      <c r="E10" s="87">
        <v>410.02199999999999</v>
      </c>
      <c r="F10" s="6">
        <v>2000</v>
      </c>
      <c r="G10" s="9">
        <f t="shared" si="3"/>
        <v>0.17344232814375629</v>
      </c>
      <c r="H10" s="9">
        <f t="shared" si="4"/>
        <v>0.15269570153301507</v>
      </c>
      <c r="M10" s="85">
        <f t="shared" si="5"/>
        <v>0.15269570153301507</v>
      </c>
      <c r="O10">
        <f>($D$10*O4)/($E$10+O4)</f>
        <v>6.0325693171721678E-2</v>
      </c>
      <c r="P10">
        <f t="shared" ref="P10:AG10" si="10">($D$10*P4)/($E$10+P4)</f>
        <v>7.7744069902059371E-2</v>
      </c>
      <c r="Q10">
        <f t="shared" si="10"/>
        <v>9.0861729681416065E-2</v>
      </c>
      <c r="R10">
        <f t="shared" si="10"/>
        <v>0.10109645700873167</v>
      </c>
      <c r="S10">
        <f t="shared" si="10"/>
        <v>0.1093045498018855</v>
      </c>
      <c r="T10">
        <f t="shared" si="10"/>
        <v>0.11603373626829019</v>
      </c>
      <c r="U10">
        <f t="shared" si="10"/>
        <v>0.12165068073142471</v>
      </c>
      <c r="V10">
        <f t="shared" si="10"/>
        <v>0.12641009082290222</v>
      </c>
      <c r="W10">
        <f t="shared" si="10"/>
        <v>0.13049441781759435</v>
      </c>
      <c r="X10">
        <f t="shared" si="10"/>
        <v>0.13403778223098736</v>
      </c>
      <c r="Y10">
        <f t="shared" si="10"/>
        <v>0.13714098316668966</v>
      </c>
      <c r="Z10">
        <f t="shared" si="10"/>
        <v>0.13988124129397164</v>
      </c>
      <c r="AA10">
        <f t="shared" si="10"/>
        <v>0.14231871214825015</v>
      </c>
      <c r="AB10">
        <f t="shared" si="10"/>
        <v>0.14450095339215988</v>
      </c>
      <c r="AC10">
        <f t="shared" si="10"/>
        <v>0.14646605858045333</v>
      </c>
      <c r="AD10">
        <f t="shared" si="10"/>
        <v>0.14824489981621045</v>
      </c>
      <c r="AE10">
        <f t="shared" si="10"/>
        <v>0.14986276154717013</v>
      </c>
      <c r="AF10">
        <f t="shared" si="10"/>
        <v>0.15134055000341987</v>
      </c>
      <c r="AG10">
        <f t="shared" si="10"/>
        <v>0.15269570153301507</v>
      </c>
    </row>
    <row r="11" spans="1:53" x14ac:dyDescent="0.3">
      <c r="A11" t="s">
        <v>4</v>
      </c>
      <c r="B11" s="6">
        <v>0.16400000000000001</v>
      </c>
      <c r="C11" s="6">
        <v>258.43</v>
      </c>
      <c r="D11" s="87">
        <v>0.14399999999999999</v>
      </c>
      <c r="E11" s="87">
        <v>258.43</v>
      </c>
      <c r="F11" s="6">
        <v>2500</v>
      </c>
      <c r="G11" s="9">
        <f t="shared" si="3"/>
        <v>0.14863527441334384</v>
      </c>
      <c r="H11" s="9">
        <f t="shared" si="4"/>
        <v>0.13050902143610679</v>
      </c>
      <c r="M11" s="85">
        <f t="shared" si="5"/>
        <v>0.13050902143610679</v>
      </c>
      <c r="O11">
        <f>($D$11*O4)/($E$11+O4)</f>
        <v>6.2823113670571293E-2</v>
      </c>
      <c r="P11">
        <f t="shared" ref="P11:AK11" si="11">($D$11*P4)/($E$11+P4)</f>
        <v>7.735974070160985E-2</v>
      </c>
      <c r="Q11">
        <f t="shared" si="11"/>
        <v>8.7480825600291592E-2</v>
      </c>
      <c r="R11">
        <f t="shared" si="11"/>
        <v>9.4932953601518918E-2</v>
      </c>
      <c r="S11">
        <f t="shared" si="11"/>
        <v>0.10064885896345653</v>
      </c>
      <c r="T11">
        <f t="shared" si="11"/>
        <v>0.10517200004173491</v>
      </c>
      <c r="U11">
        <f t="shared" si="11"/>
        <v>0.10884045236813014</v>
      </c>
      <c r="V11">
        <f t="shared" si="11"/>
        <v>0.11187555570901996</v>
      </c>
      <c r="W11">
        <f t="shared" si="11"/>
        <v>0.1144282955746446</v>
      </c>
      <c r="X11">
        <f t="shared" si="11"/>
        <v>0.11660519864843973</v>
      </c>
      <c r="Y11">
        <f t="shared" si="11"/>
        <v>0.11848357480304161</v>
      </c>
      <c r="Z11">
        <f t="shared" si="11"/>
        <v>0.12012089089660748</v>
      </c>
      <c r="AA11">
        <f t="shared" si="11"/>
        <v>0.12156075324252455</v>
      </c>
      <c r="AB11">
        <f t="shared" si="11"/>
        <v>0.12283684877987748</v>
      </c>
      <c r="AC11">
        <f t="shared" si="11"/>
        <v>0.12397561382457234</v>
      </c>
      <c r="AD11">
        <f t="shared" si="11"/>
        <v>0.12499808520090071</v>
      </c>
      <c r="AE11">
        <f t="shared" si="11"/>
        <v>0.1259212117973407</v>
      </c>
      <c r="AF11">
        <f t="shared" si="11"/>
        <v>0.12675880153630184</v>
      </c>
      <c r="AG11">
        <f t="shared" si="11"/>
        <v>0.12752221676120137</v>
      </c>
      <c r="AH11">
        <f t="shared" si="11"/>
        <v>0.12822089271252485</v>
      </c>
      <c r="AI11">
        <f t="shared" si="11"/>
        <v>0.12886272946555322</v>
      </c>
      <c r="AJ11">
        <f t="shared" si="11"/>
        <v>0.12945439195131389</v>
      </c>
      <c r="AK11">
        <f t="shared" si="11"/>
        <v>0.13000154226366689</v>
      </c>
      <c r="AL11">
        <f>($D$11*AL4)/($E$11+AL4)</f>
        <v>0.13050902143610679</v>
      </c>
    </row>
    <row r="12" spans="1:53" x14ac:dyDescent="0.3">
      <c r="A12" t="s">
        <v>190</v>
      </c>
      <c r="B12" s="6">
        <v>0.36</v>
      </c>
      <c r="C12" s="6">
        <v>2330.25</v>
      </c>
      <c r="D12" s="87">
        <v>0.317</v>
      </c>
      <c r="E12" s="87">
        <v>2330.25</v>
      </c>
      <c r="F12" s="6">
        <v>2000</v>
      </c>
      <c r="G12" s="9">
        <f>(B12*F12)/(C12+F12)</f>
        <v>0.16627215518734484</v>
      </c>
      <c r="H12" s="9">
        <f>(D12*F12)/(E12+F12)</f>
        <v>0.146411869984412</v>
      </c>
      <c r="M12" s="85">
        <f>MAX(O12:BA12)</f>
        <v>0.146411869984412</v>
      </c>
      <c r="O12">
        <f>($D$12*O4)/($E$12+O4)</f>
        <v>2.505681256792807E-2</v>
      </c>
      <c r="P12">
        <f t="shared" ref="P12:AG12" si="12">($D$12*P4)/($E$12+P4)</f>
        <v>3.6156258910749924E-2</v>
      </c>
      <c r="Q12">
        <f t="shared" si="12"/>
        <v>4.6442633458474498E-2</v>
      </c>
      <c r="R12">
        <f t="shared" si="12"/>
        <v>5.6002119954067661E-2</v>
      </c>
      <c r="S12">
        <f t="shared" si="12"/>
        <v>6.4909137445610443E-2</v>
      </c>
      <c r="T12">
        <f t="shared" si="12"/>
        <v>7.3228281494926162E-2</v>
      </c>
      <c r="U12">
        <f t="shared" si="12"/>
        <v>8.1015893299257249E-2</v>
      </c>
      <c r="V12">
        <f t="shared" si="12"/>
        <v>8.8321337357789645E-2</v>
      </c>
      <c r="W12">
        <f t="shared" si="12"/>
        <v>9.5188048945274384E-2</v>
      </c>
      <c r="X12">
        <f t="shared" si="12"/>
        <v>0.10165439836746593</v>
      </c>
      <c r="Y12">
        <f t="shared" si="12"/>
        <v>0.10775440832802209</v>
      </c>
      <c r="Z12">
        <f t="shared" si="12"/>
        <v>0.11351835273052821</v>
      </c>
      <c r="AA12">
        <f t="shared" si="12"/>
        <v>0.11897325916493533</v>
      </c>
      <c r="AB12">
        <f t="shared" si="12"/>
        <v>0.12414333268063442</v>
      </c>
      <c r="AC12">
        <f t="shared" si="12"/>
        <v>0.12905031486546656</v>
      </c>
      <c r="AD12">
        <f t="shared" si="12"/>
        <v>0.13371378946715465</v>
      </c>
      <c r="AE12">
        <f t="shared" si="12"/>
        <v>0.13815144361721446</v>
      </c>
      <c r="AF12">
        <f t="shared" si="12"/>
        <v>0.14237929200401866</v>
      </c>
      <c r="AG12">
        <f t="shared" si="12"/>
        <v>0.146411869984412</v>
      </c>
    </row>
    <row r="14" spans="1:53" ht="23.4" x14ac:dyDescent="0.45">
      <c r="A14" s="15"/>
      <c r="B14" s="6"/>
      <c r="C14" s="6"/>
      <c r="D14" s="6"/>
      <c r="E14" s="6"/>
      <c r="F14" s="6"/>
    </row>
    <row r="15" spans="1:53" x14ac:dyDescent="0.3">
      <c r="B15" s="121"/>
      <c r="C15" s="121"/>
      <c r="D15" s="121"/>
      <c r="E15" s="121"/>
    </row>
    <row r="16" spans="1:53" x14ac:dyDescent="0.3">
      <c r="B16" s="121"/>
      <c r="C16" s="121"/>
      <c r="D16" s="121"/>
      <c r="E16" s="121"/>
      <c r="N16" t="s">
        <v>188</v>
      </c>
    </row>
    <row r="17" spans="2:14" x14ac:dyDescent="0.3">
      <c r="B17" s="6"/>
      <c r="C17" s="6"/>
      <c r="D17" s="6"/>
      <c r="E17" s="6"/>
      <c r="F17" s="6"/>
      <c r="G17" s="6"/>
      <c r="H17" s="6"/>
      <c r="N17" t="s">
        <v>189</v>
      </c>
    </row>
    <row r="18" spans="2:14" x14ac:dyDescent="0.3">
      <c r="B18" s="6"/>
      <c r="C18" s="6"/>
      <c r="D18" s="6"/>
      <c r="E18" s="6"/>
      <c r="F18" s="6"/>
      <c r="G18" s="9"/>
      <c r="H18" s="9"/>
    </row>
    <row r="19" spans="2:14" x14ac:dyDescent="0.3">
      <c r="B19" s="6"/>
      <c r="C19" s="6"/>
      <c r="D19" s="6"/>
      <c r="E19" s="6"/>
      <c r="F19" s="6"/>
      <c r="G19" s="9"/>
      <c r="H19" s="9"/>
    </row>
    <row r="20" spans="2:14" x14ac:dyDescent="0.3">
      <c r="B20" s="6"/>
      <c r="C20" s="6"/>
      <c r="D20" s="6"/>
      <c r="E20" s="6"/>
      <c r="F20" s="6"/>
    </row>
    <row r="21" spans="2:14" x14ac:dyDescent="0.3">
      <c r="B21" s="6"/>
      <c r="C21" s="6"/>
      <c r="D21" s="6"/>
      <c r="E21" s="6"/>
      <c r="F21" s="6"/>
    </row>
    <row r="22" spans="2:14" x14ac:dyDescent="0.3">
      <c r="B22" s="6"/>
      <c r="C22" s="6"/>
      <c r="D22" s="6"/>
      <c r="E22" s="6"/>
      <c r="F22" s="6"/>
    </row>
    <row r="23" spans="2:14" x14ac:dyDescent="0.3">
      <c r="B23" s="6"/>
      <c r="C23" s="6"/>
      <c r="D23" s="6"/>
      <c r="E23" s="6"/>
      <c r="F23" s="6"/>
    </row>
    <row r="24" spans="2:14" x14ac:dyDescent="0.3">
      <c r="B24" s="6"/>
      <c r="C24" s="6"/>
      <c r="D24" s="6"/>
      <c r="E24" s="6"/>
      <c r="F24" s="6"/>
    </row>
    <row r="25" spans="2:14" x14ac:dyDescent="0.3">
      <c r="B25" s="6"/>
      <c r="C25" s="6"/>
      <c r="D25" s="6"/>
      <c r="E25" s="6"/>
      <c r="F25" s="6"/>
    </row>
  </sheetData>
  <sortState ref="A5:H12">
    <sortCondition ref="A5:A12"/>
  </sortState>
  <mergeCells count="6">
    <mergeCell ref="B3:C3"/>
    <mergeCell ref="D3:E3"/>
    <mergeCell ref="B2:E2"/>
    <mergeCell ref="B15:E15"/>
    <mergeCell ref="B16:C16"/>
    <mergeCell ref="D16:E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5c4c99-07a8-4416-9a69-9ae9d07edf2b">
      <Terms xmlns="http://schemas.microsoft.com/office/infopath/2007/PartnerControls"/>
    </lcf76f155ced4ddcb4097134ff3c332f>
    <_Flow_SignoffStatus xmlns="a95c4c99-07a8-4416-9a69-9ae9d07edf2b" xsi:nil="true"/>
    <TaxCatchAll xmlns="6ecd31dd-2a99-4937-8803-e7e76c80925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4E9FBA06706847A94792E605BD03F1" ma:contentTypeVersion="19" ma:contentTypeDescription="Crea un document nou" ma:contentTypeScope="" ma:versionID="dec4590ff4c50472738e20194a3d82dc">
  <xsd:schema xmlns:xsd="http://www.w3.org/2001/XMLSchema" xmlns:xs="http://www.w3.org/2001/XMLSchema" xmlns:p="http://schemas.microsoft.com/office/2006/metadata/properties" xmlns:ns2="a95c4c99-07a8-4416-9a69-9ae9d07edf2b" xmlns:ns3="6ecd31dd-2a99-4937-8803-e7e76c80925e" targetNamespace="http://schemas.microsoft.com/office/2006/metadata/properties" ma:root="true" ma:fieldsID="31ed507e9fdd3345e4d61f902436b4a5" ns2:_="" ns3:_="">
    <xsd:import namespace="a95c4c99-07a8-4416-9a69-9ae9d07edf2b"/>
    <xsd:import namespace="6ecd31dd-2a99-4937-8803-e7e76c80925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c4c99-07a8-4416-9a69-9ae9d07edf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es de la imatge" ma:readOnly="false" ma:fieldId="{5cf76f15-5ced-4ddc-b409-7134ff3c332f}" ma:taxonomyMulti="true" ma:sspId="14d0b896-f9cb-4870-8ddf-1204c9fb9e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t S'ha finalitzat" ma:internalName="Estat_x0020_S_x0027_ha_x0020_finalitza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cd31dd-2a99-4937-8803-e7e76c80925e" elementFormDefault="qualified">
    <xsd:import namespace="http://schemas.microsoft.com/office/2006/documentManagement/types"/>
    <xsd:import namespace="http://schemas.microsoft.com/office/infopath/2007/PartnerControls"/>
    <xsd:element name="SharedWithUsers" ma:index="1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 compartit amb detalls" ma:internalName="SharedWithDetails" ma:readOnly="true">
      <xsd:simpleType>
        <xsd:restriction base="dms:Note">
          <xsd:maxLength value="255"/>
        </xsd:restriction>
      </xsd:simpleType>
    </xsd:element>
    <xsd:element name="TaxCatchAll" ma:index="23" nillable="true" ma:displayName="Taxonomy Catch All Column" ma:hidden="true" ma:list="{ec1174bb-2662-4d0a-932c-3a0a02212f0e}" ma:internalName="TaxCatchAll" ma:showField="CatchAllData" ma:web="6ecd31dd-2a99-4937-8803-e7e76c8092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DA6137-5B88-4D6C-A58E-23D99A78FBAE}">
  <ds:schemaRefs>
    <ds:schemaRef ds:uri="6ecd31dd-2a99-4937-8803-e7e76c80925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a95c4c99-07a8-4416-9a69-9ae9d07edf2b"/>
    <ds:schemaRef ds:uri="http://www.w3.org/XML/1998/namespace"/>
  </ds:schemaRefs>
</ds:datastoreItem>
</file>

<file path=customXml/itemProps2.xml><?xml version="1.0" encoding="utf-8"?>
<ds:datastoreItem xmlns:ds="http://schemas.openxmlformats.org/officeDocument/2006/customXml" ds:itemID="{A708C134-88A1-441C-85FD-A2DA689961E7}">
  <ds:schemaRefs>
    <ds:schemaRef ds:uri="http://schemas.microsoft.com/sharepoint/v3/contenttype/forms"/>
  </ds:schemaRefs>
</ds:datastoreItem>
</file>

<file path=customXml/itemProps3.xml><?xml version="1.0" encoding="utf-8"?>
<ds:datastoreItem xmlns:ds="http://schemas.openxmlformats.org/officeDocument/2006/customXml" ds:itemID="{A626A865-335F-4F84-9CB6-15EDC917BA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Instructions</vt:lpstr>
      <vt:lpstr>Inclusion Table</vt:lpstr>
      <vt:lpstr>Release Table</vt:lpstr>
      <vt:lpstr>Inclusion Calculator</vt:lpstr>
      <vt:lpstr>Release Calculator</vt:lpstr>
      <vt:lpstr>Premix Calculator</vt:lpstr>
      <vt:lpstr>Ingredient Phytate P</vt:lpstr>
      <vt:lpstr>2022 Regression Curves</vt:lpstr>
      <vt:lpstr>'Inclusion Calculator'!Área_de_impresión</vt:lpstr>
      <vt:lpstr>'Inclusion Table'!Área_de_impresión</vt:lpstr>
      <vt:lpstr>'Premix Calculator'!Área_de_impresión</vt:lpstr>
      <vt:lpstr>'Release Calculator'!Área_de_impresión</vt:lpstr>
      <vt:lpstr>'Release Table'!Área_de_impresión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Boscato Menegat</dc:creator>
  <cp:lastModifiedBy>Usuario</cp:lastModifiedBy>
  <cp:lastPrinted>2022-11-05T16:49:22Z</cp:lastPrinted>
  <dcterms:created xsi:type="dcterms:W3CDTF">2018-10-16T16:16:17Z</dcterms:created>
  <dcterms:modified xsi:type="dcterms:W3CDTF">2025-04-09T13:41:31Z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0x010100F24E9FBA06706847A94792E605BD03F1</vt:lpwstr>
  </property>
</Properties>
</file>